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456" windowWidth="15192" windowHeight="5256"/>
  </bookViews>
  <sheets>
    <sheet name="Φύλλο1" sheetId="1" r:id="rId1"/>
    <sheet name="Φύλλο2" sheetId="420" r:id="rId2"/>
    <sheet name="Φύλλο3" sheetId="6812" r:id="rId3"/>
  </sheets>
  <definedNames>
    <definedName name="_xlnm.Print_Titles" localSheetId="0">Φύλλο1!$5:$7</definedName>
  </definedNames>
  <calcPr calcId="125725"/>
</workbook>
</file>

<file path=xl/calcChain.xml><?xml version="1.0" encoding="utf-8"?>
<calcChain xmlns="http://schemas.openxmlformats.org/spreadsheetml/2006/main">
  <c r="F46" i="1"/>
  <c r="Q9"/>
  <c r="N9"/>
  <c r="K9"/>
  <c r="J9"/>
  <c r="I9"/>
  <c r="P20"/>
  <c r="O20"/>
  <c r="M20"/>
  <c r="L20"/>
  <c r="J20"/>
  <c r="J13" s="1"/>
  <c r="I20"/>
  <c r="P39"/>
  <c r="O39"/>
  <c r="M39"/>
  <c r="L39"/>
  <c r="J39"/>
  <c r="I39"/>
  <c r="P24"/>
  <c r="O24"/>
  <c r="M24"/>
  <c r="L24"/>
  <c r="J24"/>
  <c r="I24"/>
  <c r="K77"/>
  <c r="P50"/>
  <c r="O50"/>
  <c r="M50"/>
  <c r="L50"/>
  <c r="J50"/>
  <c r="I50"/>
  <c r="P29"/>
  <c r="O29"/>
  <c r="M29"/>
  <c r="L29"/>
  <c r="J29"/>
  <c r="I29"/>
  <c r="P32"/>
  <c r="O32"/>
  <c r="M32"/>
  <c r="L32"/>
  <c r="J32"/>
  <c r="I32"/>
  <c r="P61"/>
  <c r="O61"/>
  <c r="M61"/>
  <c r="L61"/>
  <c r="J61"/>
  <c r="I61"/>
  <c r="P46"/>
  <c r="O46"/>
  <c r="M46"/>
  <c r="L46"/>
  <c r="J46"/>
  <c r="I46"/>
  <c r="P72"/>
  <c r="O72"/>
  <c r="M72"/>
  <c r="L72"/>
  <c r="J72"/>
  <c r="I72"/>
  <c r="P53"/>
  <c r="O53"/>
  <c r="M53"/>
  <c r="L53"/>
  <c r="J53"/>
  <c r="I53"/>
  <c r="P76"/>
  <c r="O76"/>
  <c r="M76"/>
  <c r="L76"/>
  <c r="J76"/>
  <c r="I76"/>
  <c r="P56"/>
  <c r="O56"/>
  <c r="M56"/>
  <c r="L56"/>
  <c r="J56"/>
  <c r="I56"/>
  <c r="P42"/>
  <c r="O42"/>
  <c r="M42"/>
  <c r="L42"/>
  <c r="J42"/>
  <c r="I42"/>
  <c r="N100"/>
  <c r="K85"/>
  <c r="N97"/>
  <c r="N66"/>
  <c r="N17"/>
  <c r="N55"/>
  <c r="Q94"/>
  <c r="N94"/>
  <c r="K94"/>
  <c r="H94"/>
  <c r="E94"/>
  <c r="E89"/>
  <c r="G76"/>
  <c r="F76"/>
  <c r="C76"/>
  <c r="G72"/>
  <c r="F72"/>
  <c r="C72"/>
  <c r="F61"/>
  <c r="G56"/>
  <c r="F56"/>
  <c r="D56"/>
  <c r="C56"/>
  <c r="G53"/>
  <c r="F53"/>
  <c r="G50"/>
  <c r="F50"/>
  <c r="C50"/>
  <c r="C46"/>
  <c r="F42"/>
  <c r="F39"/>
  <c r="D39"/>
  <c r="C39"/>
  <c r="G32"/>
  <c r="F32"/>
  <c r="C32"/>
  <c r="F29"/>
  <c r="C29"/>
  <c r="F24"/>
  <c r="C22"/>
  <c r="H64"/>
  <c r="E11"/>
  <c r="F20"/>
  <c r="G20"/>
  <c r="H11"/>
  <c r="K11"/>
  <c r="N11"/>
  <c r="Q11"/>
  <c r="E12"/>
  <c r="H12"/>
  <c r="K12"/>
  <c r="N12"/>
  <c r="Q12"/>
  <c r="N48"/>
  <c r="N67"/>
  <c r="N38"/>
  <c r="K15"/>
  <c r="C13"/>
  <c r="D13"/>
  <c r="F13"/>
  <c r="G13"/>
  <c r="I13"/>
  <c r="L13"/>
  <c r="M13"/>
  <c r="O13"/>
  <c r="P13"/>
  <c r="E14"/>
  <c r="H14"/>
  <c r="K14"/>
  <c r="N14"/>
  <c r="Q14"/>
  <c r="E15"/>
  <c r="H15"/>
  <c r="N15"/>
  <c r="Q15"/>
  <c r="E16"/>
  <c r="H16"/>
  <c r="K16"/>
  <c r="N16"/>
  <c r="Q16"/>
  <c r="E17"/>
  <c r="H17"/>
  <c r="K17"/>
  <c r="Q17"/>
  <c r="E18"/>
  <c r="H18"/>
  <c r="K18"/>
  <c r="N18"/>
  <c r="Q18"/>
  <c r="E19"/>
  <c r="H19"/>
  <c r="K19"/>
  <c r="N19"/>
  <c r="Q19"/>
  <c r="E20"/>
  <c r="H20"/>
  <c r="K20"/>
  <c r="N20"/>
  <c r="Q20"/>
  <c r="E21"/>
  <c r="H21"/>
  <c r="K21"/>
  <c r="N21"/>
  <c r="Q21"/>
  <c r="D22"/>
  <c r="F22"/>
  <c r="G22"/>
  <c r="I22"/>
  <c r="J22"/>
  <c r="L22"/>
  <c r="M22"/>
  <c r="O22"/>
  <c r="P22"/>
  <c r="E23"/>
  <c r="H23"/>
  <c r="K23"/>
  <c r="N23"/>
  <c r="Q23"/>
  <c r="E24"/>
  <c r="H24"/>
  <c r="K24"/>
  <c r="N24"/>
  <c r="Q24"/>
  <c r="E25"/>
  <c r="H25"/>
  <c r="K25"/>
  <c r="N25"/>
  <c r="Q25"/>
  <c r="C26"/>
  <c r="D26"/>
  <c r="F26"/>
  <c r="G26"/>
  <c r="I26"/>
  <c r="J26"/>
  <c r="L26"/>
  <c r="M26"/>
  <c r="O26"/>
  <c r="P26"/>
  <c r="E27"/>
  <c r="H27"/>
  <c r="K27"/>
  <c r="N27"/>
  <c r="Q27"/>
  <c r="E28"/>
  <c r="H28"/>
  <c r="K28"/>
  <c r="N28"/>
  <c r="Q28"/>
  <c r="E29"/>
  <c r="H29"/>
  <c r="K29"/>
  <c r="N29"/>
  <c r="Q29"/>
  <c r="C30"/>
  <c r="D30"/>
  <c r="F30"/>
  <c r="G30"/>
  <c r="I30"/>
  <c r="J30"/>
  <c r="L30"/>
  <c r="M30"/>
  <c r="O30"/>
  <c r="P30"/>
  <c r="E31"/>
  <c r="H31"/>
  <c r="K31"/>
  <c r="N31"/>
  <c r="Q31"/>
  <c r="E32"/>
  <c r="H32"/>
  <c r="K32"/>
  <c r="N32"/>
  <c r="Q32"/>
  <c r="E33"/>
  <c r="H33"/>
  <c r="K33"/>
  <c r="N33"/>
  <c r="Q33"/>
  <c r="E34"/>
  <c r="H34"/>
  <c r="K34"/>
  <c r="N34"/>
  <c r="Q34"/>
  <c r="E35"/>
  <c r="H35"/>
  <c r="K35"/>
  <c r="N35"/>
  <c r="Q35"/>
  <c r="C36"/>
  <c r="D36"/>
  <c r="F36"/>
  <c r="G36"/>
  <c r="I36"/>
  <c r="J36"/>
  <c r="L36"/>
  <c r="M36"/>
  <c r="O36"/>
  <c r="P36"/>
  <c r="E37"/>
  <c r="H37"/>
  <c r="K37"/>
  <c r="N37"/>
  <c r="Q37"/>
  <c r="E38"/>
  <c r="H38"/>
  <c r="K38"/>
  <c r="Q38"/>
  <c r="E39"/>
  <c r="H39"/>
  <c r="K39"/>
  <c r="N39"/>
  <c r="Q39"/>
  <c r="C40"/>
  <c r="D40"/>
  <c r="F40"/>
  <c r="G40"/>
  <c r="I40"/>
  <c r="J40"/>
  <c r="L40"/>
  <c r="M40"/>
  <c r="O40"/>
  <c r="P40"/>
  <c r="E41"/>
  <c r="H41"/>
  <c r="K41"/>
  <c r="N41"/>
  <c r="Q41"/>
  <c r="E42"/>
  <c r="H42"/>
  <c r="K42"/>
  <c r="N42"/>
  <c r="Q42"/>
  <c r="C43"/>
  <c r="D43"/>
  <c r="G43"/>
  <c r="I43"/>
  <c r="J43"/>
  <c r="L43"/>
  <c r="M43"/>
  <c r="O43"/>
  <c r="P43"/>
  <c r="E44"/>
  <c r="H44"/>
  <c r="K44"/>
  <c r="N44"/>
  <c r="Q44"/>
  <c r="E45"/>
  <c r="H45"/>
  <c r="K45"/>
  <c r="N45"/>
  <c r="Q45"/>
  <c r="E46"/>
  <c r="K46"/>
  <c r="N46"/>
  <c r="Q46"/>
  <c r="C47"/>
  <c r="D47"/>
  <c r="F47"/>
  <c r="G47"/>
  <c r="I47"/>
  <c r="J47"/>
  <c r="L47"/>
  <c r="M47"/>
  <c r="O47"/>
  <c r="P47"/>
  <c r="E48"/>
  <c r="H48"/>
  <c r="K48"/>
  <c r="Q48"/>
  <c r="E49"/>
  <c r="H49"/>
  <c r="K49"/>
  <c r="N49"/>
  <c r="Q49"/>
  <c r="E50"/>
  <c r="H50"/>
  <c r="K50"/>
  <c r="N50"/>
  <c r="Q50"/>
  <c r="C51"/>
  <c r="D51"/>
  <c r="F51"/>
  <c r="G51"/>
  <c r="I51"/>
  <c r="J51"/>
  <c r="L51"/>
  <c r="M51"/>
  <c r="O51"/>
  <c r="P51"/>
  <c r="E52"/>
  <c r="H52"/>
  <c r="K52"/>
  <c r="N52"/>
  <c r="Q52"/>
  <c r="E53"/>
  <c r="H53"/>
  <c r="K53"/>
  <c r="N53"/>
  <c r="Q53"/>
  <c r="C54"/>
  <c r="D54"/>
  <c r="F54"/>
  <c r="G54"/>
  <c r="I54"/>
  <c r="J54"/>
  <c r="L54"/>
  <c r="M54"/>
  <c r="O54"/>
  <c r="P54"/>
  <c r="E55"/>
  <c r="H55"/>
  <c r="K55"/>
  <c r="Q55"/>
  <c r="E56"/>
  <c r="H56"/>
  <c r="K56"/>
  <c r="N56"/>
  <c r="Q56"/>
  <c r="E57"/>
  <c r="H57"/>
  <c r="K57"/>
  <c r="N57"/>
  <c r="Q57"/>
  <c r="C58"/>
  <c r="D58"/>
  <c r="F58"/>
  <c r="G58"/>
  <c r="I58"/>
  <c r="J58"/>
  <c r="L58"/>
  <c r="M58"/>
  <c r="O58"/>
  <c r="P58"/>
  <c r="E59"/>
  <c r="H59"/>
  <c r="K59"/>
  <c r="N59"/>
  <c r="Q59"/>
  <c r="E60"/>
  <c r="H60"/>
  <c r="K60"/>
  <c r="N60"/>
  <c r="Q60"/>
  <c r="E61"/>
  <c r="H61"/>
  <c r="K61"/>
  <c r="N61"/>
  <c r="Q61"/>
  <c r="C62"/>
  <c r="D62"/>
  <c r="F62"/>
  <c r="G62"/>
  <c r="I62"/>
  <c r="J62"/>
  <c r="L62"/>
  <c r="M62"/>
  <c r="O62"/>
  <c r="P62"/>
  <c r="E63"/>
  <c r="H63"/>
  <c r="K63"/>
  <c r="N63"/>
  <c r="Q63"/>
  <c r="E64"/>
  <c r="K64"/>
  <c r="N64"/>
  <c r="Q64"/>
  <c r="E65"/>
  <c r="H65"/>
  <c r="K65"/>
  <c r="N65"/>
  <c r="Q65"/>
  <c r="E66"/>
  <c r="H66"/>
  <c r="K66"/>
  <c r="Q66"/>
  <c r="E67"/>
  <c r="H67"/>
  <c r="K67"/>
  <c r="Q67"/>
  <c r="E68"/>
  <c r="H68"/>
  <c r="K68"/>
  <c r="N68"/>
  <c r="Q68"/>
  <c r="E69"/>
  <c r="H69"/>
  <c r="K69"/>
  <c r="N69"/>
  <c r="Q69"/>
  <c r="E70"/>
  <c r="H70"/>
  <c r="K70"/>
  <c r="N70"/>
  <c r="Q70"/>
  <c r="E71"/>
  <c r="H71"/>
  <c r="K71"/>
  <c r="N71"/>
  <c r="Q71"/>
  <c r="E72"/>
  <c r="H72"/>
  <c r="K72"/>
  <c r="N72"/>
  <c r="Q72"/>
  <c r="C73"/>
  <c r="D73"/>
  <c r="F73"/>
  <c r="G73"/>
  <c r="I73"/>
  <c r="J73"/>
  <c r="L73"/>
  <c r="M73"/>
  <c r="O73"/>
  <c r="P73"/>
  <c r="E74"/>
  <c r="H74"/>
  <c r="K74"/>
  <c r="N74"/>
  <c r="Q74"/>
  <c r="E75"/>
  <c r="H75"/>
  <c r="K75"/>
  <c r="N75"/>
  <c r="Q75"/>
  <c r="E76"/>
  <c r="H76"/>
  <c r="K76"/>
  <c r="N76"/>
  <c r="Q76"/>
  <c r="E77"/>
  <c r="H77"/>
  <c r="N77"/>
  <c r="Q77"/>
  <c r="E78"/>
  <c r="H78"/>
  <c r="K78"/>
  <c r="N78"/>
  <c r="Q78"/>
  <c r="C79"/>
  <c r="D79"/>
  <c r="F79"/>
  <c r="G79"/>
  <c r="I79"/>
  <c r="J79"/>
  <c r="L79"/>
  <c r="M79"/>
  <c r="O79"/>
  <c r="P79"/>
  <c r="E80"/>
  <c r="H80"/>
  <c r="K80"/>
  <c r="N80"/>
  <c r="Q80"/>
  <c r="E81"/>
  <c r="H81"/>
  <c r="K81"/>
  <c r="N81"/>
  <c r="Q81"/>
  <c r="E82"/>
  <c r="H82"/>
  <c r="K82"/>
  <c r="N82"/>
  <c r="Q82"/>
  <c r="E83"/>
  <c r="H83"/>
  <c r="K83"/>
  <c r="N83"/>
  <c r="Q83"/>
  <c r="E84"/>
  <c r="H84"/>
  <c r="K84"/>
  <c r="N84"/>
  <c r="Q84"/>
  <c r="E85"/>
  <c r="H85"/>
  <c r="N85"/>
  <c r="Q85"/>
  <c r="E86"/>
  <c r="H86"/>
  <c r="K86"/>
  <c r="N86"/>
  <c r="Q86"/>
  <c r="E87"/>
  <c r="H87"/>
  <c r="K87"/>
  <c r="N87"/>
  <c r="Q87"/>
  <c r="E88"/>
  <c r="H88"/>
  <c r="K88"/>
  <c r="N88"/>
  <c r="Q88"/>
  <c r="H89"/>
  <c r="K89"/>
  <c r="N89"/>
  <c r="Q89"/>
  <c r="E90"/>
  <c r="H90"/>
  <c r="K90"/>
  <c r="N90"/>
  <c r="Q90"/>
  <c r="E91"/>
  <c r="H91"/>
  <c r="K91"/>
  <c r="N91"/>
  <c r="Q91"/>
  <c r="E92"/>
  <c r="H92"/>
  <c r="K92"/>
  <c r="N92"/>
  <c r="Q92"/>
  <c r="E93"/>
  <c r="H93"/>
  <c r="K93"/>
  <c r="N93"/>
  <c r="Q93"/>
  <c r="E95"/>
  <c r="H95"/>
  <c r="K95"/>
  <c r="N95"/>
  <c r="Q95"/>
  <c r="E96"/>
  <c r="H96"/>
  <c r="K96"/>
  <c r="N96"/>
  <c r="Q96"/>
  <c r="E97"/>
  <c r="H97"/>
  <c r="K97"/>
  <c r="Q97"/>
  <c r="E98"/>
  <c r="H98"/>
  <c r="K98"/>
  <c r="N98"/>
  <c r="Q98"/>
  <c r="E99"/>
  <c r="H99"/>
  <c r="K99"/>
  <c r="N99"/>
  <c r="Q99"/>
  <c r="E100"/>
  <c r="H100"/>
  <c r="K100"/>
  <c r="Q100"/>
  <c r="N79" l="1"/>
  <c r="K79"/>
  <c r="B94"/>
  <c r="B99"/>
  <c r="H79"/>
  <c r="P10"/>
  <c r="P8" s="1"/>
  <c r="O10"/>
  <c r="O8" s="1"/>
  <c r="M10"/>
  <c r="M8" s="1"/>
  <c r="L10"/>
  <c r="L8" s="1"/>
  <c r="J10"/>
  <c r="J8" s="1"/>
  <c r="I10"/>
  <c r="I8" s="1"/>
  <c r="G10"/>
  <c r="G8" s="1"/>
  <c r="D10"/>
  <c r="D8" s="1"/>
  <c r="C10"/>
  <c r="C8" s="1"/>
  <c r="B12"/>
  <c r="B78"/>
  <c r="Q62"/>
  <c r="N62"/>
  <c r="K62"/>
  <c r="B71"/>
  <c r="B69"/>
  <c r="B67"/>
  <c r="B65"/>
  <c r="H62"/>
  <c r="B63"/>
  <c r="E62"/>
  <c r="B76"/>
  <c r="N73"/>
  <c r="Q73"/>
  <c r="H73"/>
  <c r="E73"/>
  <c r="B74"/>
  <c r="H51"/>
  <c r="B50"/>
  <c r="H58"/>
  <c r="B59"/>
  <c r="E58"/>
  <c r="H54"/>
  <c r="E54"/>
  <c r="Q51"/>
  <c r="N51"/>
  <c r="K51"/>
  <c r="B52"/>
  <c r="N47"/>
  <c r="Q47"/>
  <c r="H47"/>
  <c r="B48"/>
  <c r="E47"/>
  <c r="E43"/>
  <c r="H40"/>
  <c r="B39"/>
  <c r="B41"/>
  <c r="H36"/>
  <c r="B37"/>
  <c r="Q40"/>
  <c r="N40"/>
  <c r="K40"/>
  <c r="Q36"/>
  <c r="N36"/>
  <c r="K36"/>
  <c r="Q30"/>
  <c r="N30"/>
  <c r="H30"/>
  <c r="B31"/>
  <c r="E30"/>
  <c r="H26"/>
  <c r="E26"/>
  <c r="H22"/>
  <c r="N22"/>
  <c r="B19"/>
  <c r="B17"/>
  <c r="B15"/>
  <c r="N13"/>
  <c r="H13"/>
  <c r="B21"/>
  <c r="B97"/>
  <c r="B95"/>
  <c r="B92"/>
  <c r="B90"/>
  <c r="B88"/>
  <c r="B86"/>
  <c r="B84"/>
  <c r="B80"/>
  <c r="Q79"/>
  <c r="E79"/>
  <c r="Q58"/>
  <c r="N58"/>
  <c r="K58"/>
  <c r="B55"/>
  <c r="Q54"/>
  <c r="N54"/>
  <c r="E51"/>
  <c r="B44"/>
  <c r="N43"/>
  <c r="K43"/>
  <c r="E40"/>
  <c r="E36"/>
  <c r="B34"/>
  <c r="K30"/>
  <c r="B27"/>
  <c r="Q26"/>
  <c r="N26"/>
  <c r="K26"/>
  <c r="B23"/>
  <c r="Q22"/>
  <c r="E22"/>
  <c r="Q13"/>
  <c r="E13"/>
  <c r="K73"/>
  <c r="K54"/>
  <c r="K47"/>
  <c r="Q43"/>
  <c r="K22"/>
  <c r="K13"/>
  <c r="B100"/>
  <c r="B82"/>
  <c r="B98"/>
  <c r="B96"/>
  <c r="B93"/>
  <c r="B91"/>
  <c r="B89"/>
  <c r="B87"/>
  <c r="B85"/>
  <c r="B83"/>
  <c r="B81"/>
  <c r="B77"/>
  <c r="B75"/>
  <c r="B72"/>
  <c r="B70"/>
  <c r="B68"/>
  <c r="B66"/>
  <c r="B64"/>
  <c r="B61"/>
  <c r="B60"/>
  <c r="B57"/>
  <c r="B56"/>
  <c r="B54" s="1"/>
  <c r="B53"/>
  <c r="B51" s="1"/>
  <c r="B49"/>
  <c r="B45"/>
  <c r="B42"/>
  <c r="B38"/>
  <c r="B36" s="1"/>
  <c r="B35"/>
  <c r="B33"/>
  <c r="B32"/>
  <c r="B30" s="1"/>
  <c r="B29"/>
  <c r="B28"/>
  <c r="B25"/>
  <c r="B24"/>
  <c r="B20"/>
  <c r="B18"/>
  <c r="B16"/>
  <c r="B14"/>
  <c r="B47"/>
  <c r="B11"/>
  <c r="B79" l="1"/>
  <c r="B40"/>
  <c r="Q10"/>
  <c r="Q8" s="1"/>
  <c r="K10"/>
  <c r="K8" s="1"/>
  <c r="N10"/>
  <c r="B73"/>
  <c r="E10"/>
  <c r="E8" s="1"/>
  <c r="B26"/>
  <c r="B13"/>
  <c r="B62"/>
  <c r="B58"/>
  <c r="B22"/>
  <c r="N8" l="1"/>
  <c r="F43"/>
  <c r="F10" s="1"/>
  <c r="F8" s="1"/>
  <c r="H46"/>
  <c r="B46" s="1"/>
  <c r="B43" s="1"/>
  <c r="B10" s="1"/>
  <c r="B8" s="1"/>
  <c r="E9" s="1"/>
  <c r="H43" l="1"/>
  <c r="H10" s="1"/>
  <c r="H8" s="1"/>
  <c r="H9" s="1"/>
  <c r="B9" s="1"/>
</calcChain>
</file>

<file path=xl/sharedStrings.xml><?xml version="1.0" encoding="utf-8"?>
<sst xmlns="http://schemas.openxmlformats.org/spreadsheetml/2006/main" count="122" uniqueCount="113">
  <si>
    <t>Προσβολές κατά της πολιτειακής εξουσίας</t>
  </si>
  <si>
    <t xml:space="preserve">      Λοιπές προσβολές κατά της πολιτειακής εξουσίας…………………………………………</t>
  </si>
  <si>
    <t>Εγκλήματα κατά της ζωής……………………</t>
  </si>
  <si>
    <t>Εγκλήματα κατά της προσωπικής ελευθερίας…</t>
  </si>
  <si>
    <t>Εγκλήματα κατά της ιδιοκτησίας……………..</t>
  </si>
  <si>
    <t>Εγκλήματα κατά περιουσιακών δικαιωμάτων..</t>
  </si>
  <si>
    <t>Σύνολο</t>
  </si>
  <si>
    <t>Τετελεσμένα</t>
  </si>
  <si>
    <t>Απόπειρες</t>
  </si>
  <si>
    <t>Διαπραχθέντα αδικήματα</t>
  </si>
  <si>
    <t>Κακουργήματα</t>
  </si>
  <si>
    <t>Πλημμελήματα</t>
  </si>
  <si>
    <t xml:space="preserve">        Λοιπά εγκλήματα κατά της ζωής…………</t>
  </si>
  <si>
    <t>Εγκλήματα κατά της τιμής……………………….</t>
  </si>
  <si>
    <t xml:space="preserve">         Εξύβριση…………………………………….</t>
  </si>
  <si>
    <t xml:space="preserve">         Λοιπά εγκλήματα κατά της τιμής…………..</t>
  </si>
  <si>
    <t xml:space="preserve">          Λοιπά εγκλήματα κατά της ιδιοκτησίας …</t>
  </si>
  <si>
    <t>Επαιτεία και αλητεία…………………………….</t>
  </si>
  <si>
    <t xml:space="preserve">      Αντίσταση……………………………………</t>
  </si>
  <si>
    <t xml:space="preserve">      Απείθεια…………………………………….</t>
  </si>
  <si>
    <t xml:space="preserve">      Παραβίαση περιορισμών διαμονής………..</t>
  </si>
  <si>
    <t>Επιβουλή της θρησκευτικής ειρήνης………..</t>
  </si>
  <si>
    <t xml:space="preserve">       Κακόβουλη βλασφημία……………………..</t>
  </si>
  <si>
    <t xml:space="preserve">       Λοιπά εγκλήματα κατά της θρησκευτικής ειρήνης …………………………………………..</t>
  </si>
  <si>
    <t xml:space="preserve">        Πλαστογραφία……………………………..</t>
  </si>
  <si>
    <t>Κοινώς επικίνδυνα εγκλήματα……………….</t>
  </si>
  <si>
    <t xml:space="preserve">        Εμπρησμός…………………………………..</t>
  </si>
  <si>
    <t xml:space="preserve">        Εμπρησμός σε δάση………………………..</t>
  </si>
  <si>
    <t xml:space="preserve">        Λοιπά εγκλήματα κοινώς επικίνδυνα ……..</t>
  </si>
  <si>
    <t xml:space="preserve">        Αυτοδικία……………………………………..</t>
  </si>
  <si>
    <t xml:space="preserve">        Λοιπά εγκλήματα κατά της προσωπικής ελευθερίας………………….…………………......</t>
  </si>
  <si>
    <t xml:space="preserve">      Απόδραση κρατουμένου .………………….</t>
  </si>
  <si>
    <t xml:space="preserve">        Βιασμός ……………………………………..</t>
  </si>
  <si>
    <t xml:space="preserve">        Παραχάραξη .……………………………..</t>
  </si>
  <si>
    <t xml:space="preserve">        Κιβδηλία …....……………………………..</t>
  </si>
  <si>
    <t xml:space="preserve">          Απάτη .…………………………………….</t>
  </si>
  <si>
    <t xml:space="preserve">          Εκβίαση …………………………………..</t>
  </si>
  <si>
    <t xml:space="preserve">          Λοιπά εγκλήματα κατά περιουσιακών δικαιωμάτων ………………………………….…</t>
  </si>
  <si>
    <t>Πηγή: Ελληνική Αστυνομία</t>
  </si>
  <si>
    <t>Επιβουλή της δημοσίας τάξης..………………</t>
  </si>
  <si>
    <t>Κατά Εθνικότητα</t>
  </si>
  <si>
    <t>Αλλοδαποί</t>
  </si>
  <si>
    <t>Ημεδαποί</t>
  </si>
  <si>
    <t>Δεν συνελήφθησαν</t>
  </si>
  <si>
    <t>Συνελήφθησαν</t>
  </si>
  <si>
    <t>Άνδρας</t>
  </si>
  <si>
    <t>Γυναίκα</t>
  </si>
  <si>
    <t xml:space="preserve">        Ανθρωποκτονία με πρόθεση ...……………</t>
  </si>
  <si>
    <t xml:space="preserve">        Ανθρωποκτονία από αμέλεια…………….</t>
  </si>
  <si>
    <t xml:space="preserve">        Σωματική βλάβη από αμέλεια…………..</t>
  </si>
  <si>
    <t xml:space="preserve">      Παραβίαση κατάσχεσης….………………..</t>
  </si>
  <si>
    <t xml:space="preserve">      Προσβολή συμβόλων του Ελληνικού Κράτους</t>
  </si>
  <si>
    <t xml:space="preserve">       Διατάραξη της ασφάλειας των συγκοινωνιών</t>
  </si>
  <si>
    <t xml:space="preserve">         Απρόκλητη έμπρακτη εξύβριση…………….</t>
  </si>
  <si>
    <t xml:space="preserve">          Άλλη διακεκριμένη κλοπή ……………….</t>
  </si>
  <si>
    <t xml:space="preserve">          Κλοπή με αρπαγή .……………………….</t>
  </si>
  <si>
    <t xml:space="preserve">          Κλοπή μεταφορικού μέσου για χρήση για πολύ μικρό χρονικό διάστημα ….……………….</t>
  </si>
  <si>
    <t xml:space="preserve">          Άλλη κλοπή με διάρρηξη ..……………….</t>
  </si>
  <si>
    <t xml:space="preserve">          Άλλη κλοπή …….. .……………………….</t>
  </si>
  <si>
    <t xml:space="preserve">          Κλοπές και υπεξαιρέσεις ευτελούς αξίας ..</t>
  </si>
  <si>
    <t xml:space="preserve">          Ληστεία με αρπαγή ...…………………….</t>
  </si>
  <si>
    <t xml:space="preserve">          Άλλη ληστεία ……...……………………….</t>
  </si>
  <si>
    <t xml:space="preserve">          Διακεκριμένη κλοπή με διάρρηξη ….….</t>
  </si>
  <si>
    <t xml:space="preserve">         Γενικός Οικοδομικός Κανονισμός ……......</t>
  </si>
  <si>
    <t xml:space="preserve">        Δασικής Νομοθεσίας …………………….…</t>
  </si>
  <si>
    <t xml:space="preserve">         Νομοθεσία περί αυτοκινήτων …………….</t>
  </si>
  <si>
    <t xml:space="preserve">         Νομοθεσία περί προστασίας Εθνικού Νομίσματος ……………...………………………..</t>
  </si>
  <si>
    <t xml:space="preserve">         Νομοθεσία περί Δημόσιας Υγείας …...…….</t>
  </si>
  <si>
    <t xml:space="preserve">         Νομοθεσία περί ζωοκλοπής .……………..</t>
  </si>
  <si>
    <t xml:space="preserve">         Νομοθεσία περί ζωοκτονίας .……………..</t>
  </si>
  <si>
    <t xml:space="preserve">         Νομοθεσία περί ναρκωτικών .……………..</t>
  </si>
  <si>
    <t xml:space="preserve">         Νομοθεσία περί λαθρεμπορίας .…………..</t>
  </si>
  <si>
    <t xml:space="preserve">         Νομοθεσία περί όπλων ....…………….....</t>
  </si>
  <si>
    <t xml:space="preserve">         Νομοθεσία περί Αθλητισμού ...……………..</t>
  </si>
  <si>
    <t xml:space="preserve">        Λοιποί Ειδικοί Ποινικοί Νόμοι ……………....</t>
  </si>
  <si>
    <t xml:space="preserve">         Νομοθεσία περί παιγνίων, εράνων και λαχειοφόρων αγορών …………..…………….....</t>
  </si>
  <si>
    <t xml:space="preserve">         Νομοθεσία περί εκρηκτικών …...………….</t>
  </si>
  <si>
    <t xml:space="preserve">         Νομοθεσία περί εκρηκτικών μηχανισμών ..</t>
  </si>
  <si>
    <t>Εγκλήματα κατά ασφάλειας των συγκοινωνιών ………………………………….</t>
  </si>
  <si>
    <t xml:space="preserve">       Λοιπά εγκλήματα κατά της ασφάλειας των συγκοινωνιών …..……………………………….</t>
  </si>
  <si>
    <t>Εγκλήματα σχετικά με το νόμισμα……….….</t>
  </si>
  <si>
    <t xml:space="preserve">       Λοιπά εγκλήματα σχετικά με το νόμισμα ..</t>
  </si>
  <si>
    <t>Εγκλήματα σχετικά με τα υπομνήματα………</t>
  </si>
  <si>
    <t xml:space="preserve">        Λοιπά εγκλήματα σχετικά με τα υπομνήματα</t>
  </si>
  <si>
    <t>Εγκλήματα σχετικά με  την απονομή της δικαιοσύνης …………………………………….</t>
  </si>
  <si>
    <t>Εγκλήματα σχετικά με την υπηρεσία………...</t>
  </si>
  <si>
    <t>Λοιπά εγκλήματα Ποινικού Κώδικα…………..</t>
  </si>
  <si>
    <t>Εγκλήματα κατά γενετήσιας ελευθερίας κλπ..</t>
  </si>
  <si>
    <t xml:space="preserve">        Λοιπά εγκλήματα κατά γενετήσιας ελευθερίας.</t>
  </si>
  <si>
    <t>Εγκλήματα που  ανάγονται στη  στρατιωτική  υπηρεσία και στην υποχρέωση  για  στράτευση……………………………………....</t>
  </si>
  <si>
    <t>Εγκλήματα παραβίασης απορρήτων ………</t>
  </si>
  <si>
    <t xml:space="preserve">         Περί Αγορανομικού Κώδικα - Διατάξεων…</t>
  </si>
  <si>
    <t>Εγκλήματα εσχάτης προδοσίας, της Χώρας και εγκλήματα κατά ξένων κρατών  …....………</t>
  </si>
  <si>
    <t>Σωματικές βλάβες ……………….……………</t>
  </si>
  <si>
    <t xml:space="preserve">        Σωματική βλάβη απλή, απρόκλητη, επικίνδυνη……………………………………….</t>
  </si>
  <si>
    <t xml:space="preserve">        Λοιπές σωματικές βλάβες……….....…..</t>
  </si>
  <si>
    <t>Εγκλήματα κατά ελευθερίας άσκησης πολιτικών δικαιωμάτων ...……………………….</t>
  </si>
  <si>
    <t>Εγκλήματα περί το γάμο και την οικογένεια ..</t>
  </si>
  <si>
    <t xml:space="preserve">         Νομοθεσία περί βεγγαλικών, πυροτεχνημάτων, πυροτεχνικών αθυρμάτων, φωτοβολίδων και συσκευών εκτόξευσης κροτίδων……………………………………………</t>
  </si>
  <si>
    <t xml:space="preserve">         Νομοθεσία περί προστασίας αρχαιοτήτων και εν γένει της πολιτιστικής κληρονομιάς .……..</t>
  </si>
  <si>
    <t>Κατηγορίες αδικημάτων και μερικά ειδικά αδικήματα</t>
  </si>
  <si>
    <t>Δράστες του αδικήματος, γνωστοί κατά τη διάρκεια του έτους (αυτουργοί &amp; συμμέτοχοι)</t>
  </si>
  <si>
    <t>Σύνολο Παραβάσεων Ειδικών Ποινικών Νόμων</t>
  </si>
  <si>
    <t>Γ.Σ.Π.Κ.-Λοιπές Αρμοδιότητες Στρατοδικείων</t>
  </si>
  <si>
    <t>Σύνολο Αδικημάτων Ποινικού Κώδικα</t>
  </si>
  <si>
    <t xml:space="preserve">             ΣΥΝΟΛΟ ΑΔΙΚΗΜΑΤΩΝ</t>
  </si>
  <si>
    <t xml:space="preserve">         Εργατική Νομοθεσία …………………….. </t>
  </si>
  <si>
    <t>Νομοθεσία περί ενδοοικογενειακής βιας .…..</t>
  </si>
  <si>
    <t>ποσοστά (%)</t>
  </si>
  <si>
    <t>Διαφορές που διαπιστώνονται σε επιμέρους σύνολα μεταξύ των πινάκων Β1 και Β2 οφείλονται, σύμφωνα με την Ελληνική Αστυνομία, σε μεθοδολογικές διαφορές κατά την επεξεργασία τους</t>
  </si>
  <si>
    <t>Πίνακας Β1 Διαπραχθέντα αδικήματα κατά κατηγορίες και θεωρούμενοι ως δράστες αυτών, κατά φύλο, έτους 2016</t>
  </si>
  <si>
    <t>ΕΤΟΣ 2016</t>
  </si>
  <si>
    <t xml:space="preserve">                                      ΕΛΛΗΝΙΚΗ ΣΤΑΤΙΣΤΙΚΗ ΑΡΧΗ</t>
  </si>
</sst>
</file>

<file path=xl/styles.xml><?xml version="1.0" encoding="utf-8"?>
<styleSheet xmlns="http://schemas.openxmlformats.org/spreadsheetml/2006/main">
  <fonts count="11">
    <font>
      <sz val="10"/>
      <name val="Arial Greek"/>
      <charset val="161"/>
    </font>
    <font>
      <sz val="10"/>
      <name val="Arial Greek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color theme="3" tint="-0.249977111117893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9" fontId="5" fillId="0" borderId="11" xfId="1" applyFont="1" applyFill="1" applyBorder="1" applyAlignment="1">
      <alignment horizontal="right" vertical="center"/>
    </xf>
    <xf numFmtId="9" fontId="5" fillId="2" borderId="11" xfId="1" applyFont="1" applyFill="1" applyBorder="1" applyAlignment="1">
      <alignment vertical="center"/>
    </xf>
    <xf numFmtId="9" fontId="5" fillId="0" borderId="11" xfId="1" applyFont="1" applyFill="1" applyBorder="1" applyAlignment="1">
      <alignment vertical="center"/>
    </xf>
    <xf numFmtId="9" fontId="6" fillId="0" borderId="0" xfId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0" fontId="9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778329</xdr:colOff>
      <xdr:row>3</xdr:row>
      <xdr:rowOff>130628</xdr:rowOff>
    </xdr:to>
    <xdr:pic>
      <xdr:nvPicPr>
        <xdr:cNvPr id="2" name="Picture 1" descr="sima_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702129" cy="620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="70" zoomScaleNormal="70" workbookViewId="0">
      <selection activeCell="D9" sqref="D9"/>
    </sheetView>
  </sheetViews>
  <sheetFormatPr defaultRowHeight="13.8"/>
  <cols>
    <col min="1" max="1" width="41.88671875" style="1" customWidth="1"/>
    <col min="2" max="2" width="8.6640625" style="1" customWidth="1"/>
    <col min="3" max="3" width="11.44140625" style="1" bestFit="1" customWidth="1"/>
    <col min="4" max="4" width="9.21875" style="1" customWidth="1"/>
    <col min="5" max="5" width="7.77734375" style="1" bestFit="1" customWidth="1"/>
    <col min="6" max="6" width="11.21875" style="1" bestFit="1" customWidth="1"/>
    <col min="7" max="7" width="9.88671875" style="1" bestFit="1" customWidth="1"/>
    <col min="8" max="8" width="9.33203125" style="1" customWidth="1"/>
    <col min="9" max="9" width="10.44140625" style="1" customWidth="1"/>
    <col min="10" max="10" width="9.44140625" style="1" customWidth="1"/>
    <col min="11" max="11" width="9.109375" style="1" bestFit="1" customWidth="1"/>
    <col min="12" max="12" width="7.21875" style="1" bestFit="1" customWidth="1"/>
    <col min="13" max="13" width="7.33203125" style="1" bestFit="1" customWidth="1"/>
    <col min="14" max="15" width="7.21875" style="1" bestFit="1" customWidth="1"/>
    <col min="16" max="17" width="8.109375" style="1" customWidth="1"/>
    <col min="18" max="16384" width="8.88671875" style="1"/>
  </cols>
  <sheetData>
    <row r="1" spans="1:17">
      <c r="A1" s="39" t="s">
        <v>112</v>
      </c>
    </row>
    <row r="3" spans="1:17" ht="14.4">
      <c r="A3" s="40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2"/>
    </row>
    <row r="4" spans="1:17" ht="15.6">
      <c r="A4" s="43"/>
      <c r="B4" s="43"/>
      <c r="C4" s="43"/>
      <c r="D4" s="43"/>
      <c r="E4" s="43"/>
      <c r="F4" s="43"/>
      <c r="G4" s="43"/>
      <c r="H4" s="43"/>
      <c r="I4" s="44"/>
      <c r="J4" s="44"/>
      <c r="K4" s="44"/>
      <c r="L4" s="44"/>
      <c r="P4" s="56" t="s">
        <v>111</v>
      </c>
      <c r="Q4" s="56"/>
    </row>
    <row r="5" spans="1:17" ht="31.8" customHeight="1">
      <c r="A5" s="45" t="s">
        <v>100</v>
      </c>
      <c r="B5" s="49" t="s">
        <v>9</v>
      </c>
      <c r="C5" s="50"/>
      <c r="D5" s="50"/>
      <c r="E5" s="50"/>
      <c r="F5" s="50"/>
      <c r="G5" s="50"/>
      <c r="H5" s="50"/>
      <c r="I5" s="52" t="s">
        <v>101</v>
      </c>
      <c r="J5" s="53"/>
      <c r="K5" s="53"/>
      <c r="L5" s="53"/>
      <c r="M5" s="53"/>
      <c r="N5" s="53"/>
      <c r="O5" s="53"/>
      <c r="P5" s="53"/>
      <c r="Q5" s="54"/>
    </row>
    <row r="6" spans="1:17" ht="19.2" customHeight="1">
      <c r="A6" s="45"/>
      <c r="B6" s="47" t="s">
        <v>6</v>
      </c>
      <c r="C6" s="49" t="s">
        <v>10</v>
      </c>
      <c r="D6" s="50"/>
      <c r="E6" s="51"/>
      <c r="F6" s="49" t="s">
        <v>11</v>
      </c>
      <c r="G6" s="50"/>
      <c r="H6" s="51"/>
      <c r="I6" s="49" t="s">
        <v>40</v>
      </c>
      <c r="J6" s="50"/>
      <c r="K6" s="55"/>
      <c r="L6" s="49" t="s">
        <v>43</v>
      </c>
      <c r="M6" s="50"/>
      <c r="N6" s="51"/>
      <c r="O6" s="49" t="s">
        <v>44</v>
      </c>
      <c r="P6" s="50"/>
      <c r="Q6" s="51"/>
    </row>
    <row r="7" spans="1:17" ht="44.4" customHeight="1" thickBot="1">
      <c r="A7" s="46"/>
      <c r="B7" s="48"/>
      <c r="C7" s="2" t="s">
        <v>7</v>
      </c>
      <c r="D7" s="3" t="s">
        <v>8</v>
      </c>
      <c r="E7" s="4" t="s">
        <v>6</v>
      </c>
      <c r="F7" s="2" t="s">
        <v>7</v>
      </c>
      <c r="G7" s="3" t="s">
        <v>8</v>
      </c>
      <c r="H7" s="5" t="s">
        <v>6</v>
      </c>
      <c r="I7" s="6" t="s">
        <v>41</v>
      </c>
      <c r="J7" s="6" t="s">
        <v>42</v>
      </c>
      <c r="K7" s="7" t="s">
        <v>6</v>
      </c>
      <c r="L7" s="3" t="s">
        <v>45</v>
      </c>
      <c r="M7" s="3" t="s">
        <v>46</v>
      </c>
      <c r="N7" s="8" t="s">
        <v>6</v>
      </c>
      <c r="O7" s="3" t="s">
        <v>45</v>
      </c>
      <c r="P7" s="3" t="s">
        <v>46</v>
      </c>
      <c r="Q7" s="4" t="s">
        <v>6</v>
      </c>
    </row>
    <row r="8" spans="1:17" ht="30.6" customHeight="1" thickTop="1" thickBot="1">
      <c r="A8" s="9" t="s">
        <v>105</v>
      </c>
      <c r="B8" s="10">
        <f>B10+B79+B100</f>
        <v>205216</v>
      </c>
      <c r="C8" s="11">
        <f t="shared" ref="C8:Q8" si="0">C10+C79+C100</f>
        <v>11400</v>
      </c>
      <c r="D8" s="11">
        <f t="shared" si="0"/>
        <v>1038</v>
      </c>
      <c r="E8" s="11">
        <f t="shared" si="0"/>
        <v>12438</v>
      </c>
      <c r="F8" s="11">
        <f t="shared" si="0"/>
        <v>182539</v>
      </c>
      <c r="G8" s="11">
        <f t="shared" si="0"/>
        <v>10239</v>
      </c>
      <c r="H8" s="11">
        <f t="shared" si="0"/>
        <v>192778</v>
      </c>
      <c r="I8" s="11">
        <f t="shared" si="0"/>
        <v>28764</v>
      </c>
      <c r="J8" s="11">
        <f t="shared" si="0"/>
        <v>93963</v>
      </c>
      <c r="K8" s="10">
        <f t="shared" si="0"/>
        <v>122727</v>
      </c>
      <c r="L8" s="11">
        <f t="shared" si="0"/>
        <v>40429</v>
      </c>
      <c r="M8" s="11">
        <f t="shared" si="0"/>
        <v>9450</v>
      </c>
      <c r="N8" s="11">
        <f t="shared" si="0"/>
        <v>49879</v>
      </c>
      <c r="O8" s="11">
        <f t="shared" si="0"/>
        <v>61322</v>
      </c>
      <c r="P8" s="11">
        <f t="shared" si="0"/>
        <v>11526</v>
      </c>
      <c r="Q8" s="11">
        <f t="shared" si="0"/>
        <v>72848</v>
      </c>
    </row>
    <row r="9" spans="1:17" s="15" customFormat="1" ht="30.6" customHeight="1" thickTop="1" thickBot="1">
      <c r="A9" s="12" t="s">
        <v>108</v>
      </c>
      <c r="B9" s="13">
        <f>E9+H9</f>
        <v>1</v>
      </c>
      <c r="C9" s="14"/>
      <c r="D9" s="14"/>
      <c r="E9" s="14">
        <f>E8/B8</f>
        <v>6.0609309215655702E-2</v>
      </c>
      <c r="F9" s="14"/>
      <c r="G9" s="14"/>
      <c r="H9" s="14">
        <f>H8/B8</f>
        <v>0.93939069078434434</v>
      </c>
      <c r="I9" s="14">
        <f>I8/K8</f>
        <v>0.23437385416412038</v>
      </c>
      <c r="J9" s="14">
        <f>J8/K8</f>
        <v>0.76562614583587962</v>
      </c>
      <c r="K9" s="13">
        <f>I9+J9</f>
        <v>1</v>
      </c>
      <c r="L9" s="14"/>
      <c r="M9" s="14"/>
      <c r="N9" s="14">
        <f>N8/K8</f>
        <v>0.40642238464233627</v>
      </c>
      <c r="O9" s="14"/>
      <c r="P9" s="14"/>
      <c r="Q9" s="14">
        <f>Q8/K8</f>
        <v>0.59357761535766373</v>
      </c>
    </row>
    <row r="10" spans="1:17" ht="30.6" customHeight="1" thickTop="1">
      <c r="A10" s="16" t="s">
        <v>104</v>
      </c>
      <c r="B10" s="17">
        <f>B11+B12+B13+B21+B22+B25+B26+B30+B33+B34+B35+B36+B40+B43+B47+B51+B54+B57+B58+B62+B73+B77+B78</f>
        <v>172575</v>
      </c>
      <c r="C10" s="17">
        <f t="shared" ref="C10:Q10" si="1">C11+C12+C13+C21+C22+C25+C26+C30+C33+C34+C35+C36+C40+C43+C47+C51+C54+C57+C58+C62+C73+C77+C78</f>
        <v>8198</v>
      </c>
      <c r="D10" s="17">
        <f t="shared" si="1"/>
        <v>1002</v>
      </c>
      <c r="E10" s="17">
        <f t="shared" si="1"/>
        <v>9200</v>
      </c>
      <c r="F10" s="17">
        <f t="shared" si="1"/>
        <v>153271</v>
      </c>
      <c r="G10" s="17">
        <f t="shared" si="1"/>
        <v>10104</v>
      </c>
      <c r="H10" s="17">
        <f t="shared" si="1"/>
        <v>163375</v>
      </c>
      <c r="I10" s="17">
        <f t="shared" si="1"/>
        <v>20082</v>
      </c>
      <c r="J10" s="17">
        <f t="shared" si="1"/>
        <v>63320</v>
      </c>
      <c r="K10" s="17">
        <f t="shared" si="1"/>
        <v>83402</v>
      </c>
      <c r="L10" s="17">
        <f t="shared" si="1"/>
        <v>33080</v>
      </c>
      <c r="M10" s="17">
        <f t="shared" si="1"/>
        <v>7959</v>
      </c>
      <c r="N10" s="17">
        <f t="shared" si="1"/>
        <v>41039</v>
      </c>
      <c r="O10" s="17">
        <f t="shared" si="1"/>
        <v>35102</v>
      </c>
      <c r="P10" s="17">
        <f t="shared" si="1"/>
        <v>7261</v>
      </c>
      <c r="Q10" s="17">
        <f t="shared" si="1"/>
        <v>42363</v>
      </c>
    </row>
    <row r="11" spans="1:17" ht="30.6" customHeight="1">
      <c r="A11" s="18" t="s">
        <v>92</v>
      </c>
      <c r="B11" s="19">
        <f>E11+H11</f>
        <v>26</v>
      </c>
      <c r="C11" s="20">
        <v>12</v>
      </c>
      <c r="D11" s="20">
        <v>0</v>
      </c>
      <c r="E11" s="21">
        <f t="shared" ref="E11:E81" si="2">SUM(C11:D11)</f>
        <v>12</v>
      </c>
      <c r="F11" s="20">
        <v>14</v>
      </c>
      <c r="G11" s="20">
        <v>0</v>
      </c>
      <c r="H11" s="21">
        <f t="shared" ref="H11:H81" si="3">SUM(F11:G11)</f>
        <v>14</v>
      </c>
      <c r="I11" s="21">
        <v>20</v>
      </c>
      <c r="J11" s="21">
        <v>7</v>
      </c>
      <c r="K11" s="22">
        <f>SUM(I11:J11)</f>
        <v>27</v>
      </c>
      <c r="L11" s="20">
        <v>2</v>
      </c>
      <c r="M11" s="20">
        <v>0</v>
      </c>
      <c r="N11" s="20">
        <f>SUM(L11:M11)</f>
        <v>2</v>
      </c>
      <c r="O11" s="20">
        <v>25</v>
      </c>
      <c r="P11" s="20">
        <v>0</v>
      </c>
      <c r="Q11" s="20">
        <f>SUM(O11:P11)</f>
        <v>25</v>
      </c>
    </row>
    <row r="12" spans="1:17" ht="30.6" customHeight="1">
      <c r="A12" s="18" t="s">
        <v>96</v>
      </c>
      <c r="B12" s="19">
        <f>E12+H12</f>
        <v>9</v>
      </c>
      <c r="C12" s="20">
        <v>0</v>
      </c>
      <c r="D12" s="20">
        <v>0</v>
      </c>
      <c r="E12" s="21">
        <f t="shared" si="2"/>
        <v>0</v>
      </c>
      <c r="F12" s="20">
        <v>9</v>
      </c>
      <c r="G12" s="20">
        <v>0</v>
      </c>
      <c r="H12" s="21">
        <f t="shared" si="3"/>
        <v>9</v>
      </c>
      <c r="I12" s="21">
        <v>0</v>
      </c>
      <c r="J12" s="21">
        <v>4</v>
      </c>
      <c r="K12" s="22">
        <f t="shared" ref="K12:K82" si="4">SUM(I12:J12)</f>
        <v>4</v>
      </c>
      <c r="L12" s="20">
        <v>4</v>
      </c>
      <c r="M12" s="20">
        <v>0</v>
      </c>
      <c r="N12" s="20">
        <f t="shared" ref="N12:N82" si="5">SUM(L12:M12)</f>
        <v>4</v>
      </c>
      <c r="O12" s="20">
        <v>0</v>
      </c>
      <c r="P12" s="20">
        <v>0</v>
      </c>
      <c r="Q12" s="20">
        <f t="shared" ref="Q12:Q82" si="6">SUM(O12:P12)</f>
        <v>0</v>
      </c>
    </row>
    <row r="13" spans="1:17" ht="25.8" customHeight="1">
      <c r="A13" s="23" t="s">
        <v>0</v>
      </c>
      <c r="B13" s="19">
        <f>SUM(B14:B20)</f>
        <v>3694</v>
      </c>
      <c r="C13" s="20">
        <f t="shared" ref="C13:M13" si="7">SUM(C14:C20)</f>
        <v>5</v>
      </c>
      <c r="D13" s="20">
        <f t="shared" si="7"/>
        <v>0</v>
      </c>
      <c r="E13" s="21">
        <f t="shared" ref="E13:E24" si="8">SUM(C13:D13)</f>
        <v>5</v>
      </c>
      <c r="F13" s="20">
        <f t="shared" si="7"/>
        <v>3626</v>
      </c>
      <c r="G13" s="20">
        <f t="shared" si="7"/>
        <v>63</v>
      </c>
      <c r="H13" s="21">
        <f t="shared" ref="H13:H24" si="9">SUM(F13:G13)</f>
        <v>3689</v>
      </c>
      <c r="I13" s="21">
        <f>SUM(I14:I20)</f>
        <v>2325</v>
      </c>
      <c r="J13" s="21">
        <f>SUM(J14:J20)</f>
        <v>2651</v>
      </c>
      <c r="K13" s="22">
        <f t="shared" ref="K13:K24" si="10">SUM(I13:J13)</f>
        <v>4976</v>
      </c>
      <c r="L13" s="20">
        <f t="shared" si="7"/>
        <v>722</v>
      </c>
      <c r="M13" s="20">
        <f t="shared" si="7"/>
        <v>149</v>
      </c>
      <c r="N13" s="20">
        <f t="shared" ref="N13:N24" si="11">SUM(L13:M13)</f>
        <v>871</v>
      </c>
      <c r="O13" s="20">
        <f>SUM(O14:O20)</f>
        <v>3528</v>
      </c>
      <c r="P13" s="20">
        <f>SUM(P14:P20)</f>
        <v>577</v>
      </c>
      <c r="Q13" s="20">
        <f t="shared" ref="Q13:Q24" si="12">SUM(O13:P13)</f>
        <v>4105</v>
      </c>
    </row>
    <row r="14" spans="1:17" ht="25.8" customHeight="1">
      <c r="A14" s="24" t="s">
        <v>18</v>
      </c>
      <c r="B14" s="25">
        <f t="shared" ref="B14:B21" si="13">E14+H14</f>
        <v>976</v>
      </c>
      <c r="C14" s="26">
        <v>1</v>
      </c>
      <c r="D14" s="26">
        <v>0</v>
      </c>
      <c r="E14" s="27">
        <f t="shared" si="8"/>
        <v>1</v>
      </c>
      <c r="F14" s="26">
        <v>973</v>
      </c>
      <c r="G14" s="26">
        <v>2</v>
      </c>
      <c r="H14" s="27">
        <f t="shared" si="9"/>
        <v>975</v>
      </c>
      <c r="I14" s="27">
        <v>412</v>
      </c>
      <c r="J14" s="27">
        <v>772</v>
      </c>
      <c r="K14" s="28">
        <f t="shared" si="10"/>
        <v>1184</v>
      </c>
      <c r="L14" s="26">
        <v>107</v>
      </c>
      <c r="M14" s="26">
        <v>29</v>
      </c>
      <c r="N14" s="26">
        <f t="shared" si="11"/>
        <v>136</v>
      </c>
      <c r="O14" s="26">
        <v>920</v>
      </c>
      <c r="P14" s="26">
        <v>128</v>
      </c>
      <c r="Q14" s="26">
        <f t="shared" si="12"/>
        <v>1048</v>
      </c>
    </row>
    <row r="15" spans="1:17" ht="25.8" customHeight="1">
      <c r="A15" s="24" t="s">
        <v>19</v>
      </c>
      <c r="B15" s="25">
        <f t="shared" si="13"/>
        <v>1067</v>
      </c>
      <c r="C15" s="26">
        <v>1</v>
      </c>
      <c r="D15" s="26">
        <v>0</v>
      </c>
      <c r="E15" s="27">
        <f t="shared" si="8"/>
        <v>1</v>
      </c>
      <c r="F15" s="26">
        <v>1065</v>
      </c>
      <c r="G15" s="26">
        <v>1</v>
      </c>
      <c r="H15" s="27">
        <f t="shared" si="9"/>
        <v>1066</v>
      </c>
      <c r="I15" s="27">
        <v>441</v>
      </c>
      <c r="J15" s="27">
        <v>874</v>
      </c>
      <c r="K15" s="28">
        <f>SUM(I15:J15)</f>
        <v>1315</v>
      </c>
      <c r="L15" s="26">
        <v>175</v>
      </c>
      <c r="M15" s="26">
        <v>36</v>
      </c>
      <c r="N15" s="26">
        <f t="shared" si="11"/>
        <v>211</v>
      </c>
      <c r="O15" s="26">
        <v>937</v>
      </c>
      <c r="P15" s="26">
        <v>167</v>
      </c>
      <c r="Q15" s="26">
        <f t="shared" si="12"/>
        <v>1104</v>
      </c>
    </row>
    <row r="16" spans="1:17" ht="25.8" customHeight="1">
      <c r="A16" s="24" t="s">
        <v>31</v>
      </c>
      <c r="B16" s="25">
        <f t="shared" si="13"/>
        <v>136</v>
      </c>
      <c r="C16" s="26">
        <v>0</v>
      </c>
      <c r="D16" s="26">
        <v>0</v>
      </c>
      <c r="E16" s="27">
        <f t="shared" si="8"/>
        <v>0</v>
      </c>
      <c r="F16" s="26">
        <v>114</v>
      </c>
      <c r="G16" s="26">
        <v>22</v>
      </c>
      <c r="H16" s="27">
        <f t="shared" si="9"/>
        <v>136</v>
      </c>
      <c r="I16" s="27">
        <v>139</v>
      </c>
      <c r="J16" s="27">
        <v>57</v>
      </c>
      <c r="K16" s="28">
        <f t="shared" si="10"/>
        <v>196</v>
      </c>
      <c r="L16" s="26">
        <v>66</v>
      </c>
      <c r="M16" s="26">
        <v>10</v>
      </c>
      <c r="N16" s="26">
        <f t="shared" si="11"/>
        <v>76</v>
      </c>
      <c r="O16" s="26">
        <v>110</v>
      </c>
      <c r="P16" s="26">
        <v>10</v>
      </c>
      <c r="Q16" s="26">
        <f t="shared" si="12"/>
        <v>120</v>
      </c>
    </row>
    <row r="17" spans="1:17" ht="25.8" customHeight="1">
      <c r="A17" s="24" t="s">
        <v>50</v>
      </c>
      <c r="B17" s="25">
        <f t="shared" si="13"/>
        <v>14</v>
      </c>
      <c r="C17" s="26">
        <v>0</v>
      </c>
      <c r="D17" s="26">
        <v>0</v>
      </c>
      <c r="E17" s="27">
        <f t="shared" si="8"/>
        <v>0</v>
      </c>
      <c r="F17" s="26">
        <v>14</v>
      </c>
      <c r="G17" s="26">
        <v>0</v>
      </c>
      <c r="H17" s="27">
        <f t="shared" si="9"/>
        <v>14</v>
      </c>
      <c r="I17" s="29">
        <v>1</v>
      </c>
      <c r="J17" s="27">
        <v>24</v>
      </c>
      <c r="K17" s="28">
        <f t="shared" si="10"/>
        <v>25</v>
      </c>
      <c r="L17" s="26">
        <v>12</v>
      </c>
      <c r="M17" s="26">
        <v>5</v>
      </c>
      <c r="N17" s="26">
        <f t="shared" si="11"/>
        <v>17</v>
      </c>
      <c r="O17" s="26">
        <v>7</v>
      </c>
      <c r="P17" s="29">
        <v>1</v>
      </c>
      <c r="Q17" s="26">
        <f t="shared" si="12"/>
        <v>8</v>
      </c>
    </row>
    <row r="18" spans="1:17" ht="25.8" customHeight="1">
      <c r="A18" s="24" t="s">
        <v>51</v>
      </c>
      <c r="B18" s="25">
        <f t="shared" si="13"/>
        <v>16</v>
      </c>
      <c r="C18" s="26">
        <v>0</v>
      </c>
      <c r="D18" s="26">
        <v>0</v>
      </c>
      <c r="E18" s="27">
        <f t="shared" si="8"/>
        <v>0</v>
      </c>
      <c r="F18" s="26">
        <v>16</v>
      </c>
      <c r="G18" s="26">
        <v>0</v>
      </c>
      <c r="H18" s="27">
        <f t="shared" si="9"/>
        <v>16</v>
      </c>
      <c r="I18" s="27">
        <v>0</v>
      </c>
      <c r="J18" s="27">
        <v>4</v>
      </c>
      <c r="K18" s="28">
        <f t="shared" si="10"/>
        <v>4</v>
      </c>
      <c r="L18" s="26">
        <v>0</v>
      </c>
      <c r="M18" s="26">
        <v>0</v>
      </c>
      <c r="N18" s="26">
        <f t="shared" si="11"/>
        <v>0</v>
      </c>
      <c r="O18" s="26">
        <v>4</v>
      </c>
      <c r="P18" s="26">
        <v>0</v>
      </c>
      <c r="Q18" s="26">
        <f t="shared" si="12"/>
        <v>4</v>
      </c>
    </row>
    <row r="19" spans="1:17" ht="25.8" customHeight="1">
      <c r="A19" s="24" t="s">
        <v>20</v>
      </c>
      <c r="B19" s="25">
        <f t="shared" si="13"/>
        <v>741</v>
      </c>
      <c r="C19" s="26">
        <v>0</v>
      </c>
      <c r="D19" s="26">
        <v>0</v>
      </c>
      <c r="E19" s="27">
        <f t="shared" si="8"/>
        <v>0</v>
      </c>
      <c r="F19" s="26">
        <v>712</v>
      </c>
      <c r="G19" s="26">
        <v>29</v>
      </c>
      <c r="H19" s="27">
        <f t="shared" si="9"/>
        <v>741</v>
      </c>
      <c r="I19" s="27">
        <v>762</v>
      </c>
      <c r="J19" s="27">
        <v>182</v>
      </c>
      <c r="K19" s="28">
        <f t="shared" si="10"/>
        <v>944</v>
      </c>
      <c r="L19" s="26">
        <v>127</v>
      </c>
      <c r="M19" s="26">
        <v>11</v>
      </c>
      <c r="N19" s="26">
        <f t="shared" si="11"/>
        <v>138</v>
      </c>
      <c r="O19" s="26">
        <v>745</v>
      </c>
      <c r="P19" s="26">
        <v>61</v>
      </c>
      <c r="Q19" s="26">
        <f t="shared" si="12"/>
        <v>806</v>
      </c>
    </row>
    <row r="20" spans="1:17" ht="30.6" customHeight="1">
      <c r="A20" s="30" t="s">
        <v>1</v>
      </c>
      <c r="B20" s="25">
        <f t="shared" si="13"/>
        <v>744</v>
      </c>
      <c r="C20" s="26">
        <v>3</v>
      </c>
      <c r="D20" s="26">
        <v>0</v>
      </c>
      <c r="E20" s="27">
        <f t="shared" si="8"/>
        <v>3</v>
      </c>
      <c r="F20" s="26">
        <f>3626-2894</f>
        <v>732</v>
      </c>
      <c r="G20" s="26">
        <f>63-54</f>
        <v>9</v>
      </c>
      <c r="H20" s="27">
        <f t="shared" si="9"/>
        <v>741</v>
      </c>
      <c r="I20" s="27">
        <f>2325-1755</f>
        <v>570</v>
      </c>
      <c r="J20" s="27">
        <f>2651-1913</f>
        <v>738</v>
      </c>
      <c r="K20" s="28">
        <f t="shared" si="10"/>
        <v>1308</v>
      </c>
      <c r="L20" s="26">
        <f>722-487</f>
        <v>235</v>
      </c>
      <c r="M20" s="26">
        <f>149-91</f>
        <v>58</v>
      </c>
      <c r="N20" s="26">
        <f t="shared" si="11"/>
        <v>293</v>
      </c>
      <c r="O20" s="26">
        <f>3528-2723</f>
        <v>805</v>
      </c>
      <c r="P20" s="26">
        <f>577-367</f>
        <v>210</v>
      </c>
      <c r="Q20" s="26">
        <f t="shared" si="12"/>
        <v>1015</v>
      </c>
    </row>
    <row r="21" spans="1:17" ht="25.8" customHeight="1">
      <c r="A21" s="31" t="s">
        <v>39</v>
      </c>
      <c r="B21" s="19">
        <f t="shared" si="13"/>
        <v>732</v>
      </c>
      <c r="C21" s="20">
        <v>373</v>
      </c>
      <c r="D21" s="20">
        <v>1</v>
      </c>
      <c r="E21" s="21">
        <f t="shared" si="8"/>
        <v>374</v>
      </c>
      <c r="F21" s="20">
        <v>356</v>
      </c>
      <c r="G21" s="20">
        <v>2</v>
      </c>
      <c r="H21" s="21">
        <f t="shared" si="9"/>
        <v>358</v>
      </c>
      <c r="I21" s="21">
        <v>1042</v>
      </c>
      <c r="J21" s="21">
        <v>1681</v>
      </c>
      <c r="K21" s="22">
        <f t="shared" si="10"/>
        <v>2723</v>
      </c>
      <c r="L21" s="20">
        <v>818</v>
      </c>
      <c r="M21" s="20">
        <v>179</v>
      </c>
      <c r="N21" s="20">
        <f t="shared" si="11"/>
        <v>997</v>
      </c>
      <c r="O21" s="20">
        <v>1508</v>
      </c>
      <c r="P21" s="20">
        <v>218</v>
      </c>
      <c r="Q21" s="20">
        <f t="shared" si="12"/>
        <v>1726</v>
      </c>
    </row>
    <row r="22" spans="1:17" ht="25.8" customHeight="1">
      <c r="A22" s="23" t="s">
        <v>21</v>
      </c>
      <c r="B22" s="19">
        <f>SUM(B23:B24)</f>
        <v>297</v>
      </c>
      <c r="C22" s="20">
        <f t="shared" ref="C22:M22" si="14">SUM(C23:C24)</f>
        <v>1</v>
      </c>
      <c r="D22" s="20">
        <f t="shared" si="14"/>
        <v>0</v>
      </c>
      <c r="E22" s="21">
        <f t="shared" si="8"/>
        <v>1</v>
      </c>
      <c r="F22" s="20">
        <f t="shared" si="14"/>
        <v>296</v>
      </c>
      <c r="G22" s="20">
        <f t="shared" si="14"/>
        <v>0</v>
      </c>
      <c r="H22" s="21">
        <f t="shared" si="9"/>
        <v>296</v>
      </c>
      <c r="I22" s="21">
        <f>SUM(I23:I24)</f>
        <v>33</v>
      </c>
      <c r="J22" s="21">
        <f>SUM(J23:J24)</f>
        <v>351</v>
      </c>
      <c r="K22" s="22">
        <f t="shared" si="10"/>
        <v>384</v>
      </c>
      <c r="L22" s="20">
        <f t="shared" si="14"/>
        <v>147</v>
      </c>
      <c r="M22" s="20">
        <f t="shared" si="14"/>
        <v>32</v>
      </c>
      <c r="N22" s="20">
        <f t="shared" si="11"/>
        <v>179</v>
      </c>
      <c r="O22" s="20">
        <f>SUM(O23:O24)</f>
        <v>169</v>
      </c>
      <c r="P22" s="20">
        <f>SUM(P23:P24)</f>
        <v>36</v>
      </c>
      <c r="Q22" s="20">
        <f t="shared" si="12"/>
        <v>205</v>
      </c>
    </row>
    <row r="23" spans="1:17" ht="25.8" customHeight="1">
      <c r="A23" s="24" t="s">
        <v>22</v>
      </c>
      <c r="B23" s="25">
        <f>E23+H23</f>
        <v>254</v>
      </c>
      <c r="C23" s="26">
        <v>0</v>
      </c>
      <c r="D23" s="26">
        <v>0</v>
      </c>
      <c r="E23" s="27">
        <f t="shared" si="8"/>
        <v>0</v>
      </c>
      <c r="F23" s="26">
        <v>254</v>
      </c>
      <c r="G23" s="26">
        <v>0</v>
      </c>
      <c r="H23" s="27">
        <f t="shared" si="9"/>
        <v>254</v>
      </c>
      <c r="I23" s="27">
        <v>16</v>
      </c>
      <c r="J23" s="27">
        <v>312</v>
      </c>
      <c r="K23" s="28">
        <f t="shared" si="10"/>
        <v>328</v>
      </c>
      <c r="L23" s="26">
        <v>138</v>
      </c>
      <c r="M23" s="26">
        <v>31</v>
      </c>
      <c r="N23" s="26">
        <f t="shared" si="11"/>
        <v>169</v>
      </c>
      <c r="O23" s="26">
        <v>124</v>
      </c>
      <c r="P23" s="26">
        <v>35</v>
      </c>
      <c r="Q23" s="26">
        <f t="shared" si="12"/>
        <v>159</v>
      </c>
    </row>
    <row r="24" spans="1:17" ht="30.6" customHeight="1">
      <c r="A24" s="30" t="s">
        <v>23</v>
      </c>
      <c r="B24" s="25">
        <f>E24+H24</f>
        <v>43</v>
      </c>
      <c r="C24" s="26">
        <v>1</v>
      </c>
      <c r="D24" s="26">
        <v>0</v>
      </c>
      <c r="E24" s="27">
        <f t="shared" si="8"/>
        <v>1</v>
      </c>
      <c r="F24" s="26">
        <f>296-254</f>
        <v>42</v>
      </c>
      <c r="G24" s="26">
        <v>0</v>
      </c>
      <c r="H24" s="27">
        <f t="shared" si="9"/>
        <v>42</v>
      </c>
      <c r="I24" s="27">
        <f>33-16</f>
        <v>17</v>
      </c>
      <c r="J24" s="27">
        <f>351-312</f>
        <v>39</v>
      </c>
      <c r="K24" s="28">
        <f t="shared" si="10"/>
        <v>56</v>
      </c>
      <c r="L24" s="26">
        <f>147-138</f>
        <v>9</v>
      </c>
      <c r="M24" s="26">
        <f>32-31</f>
        <v>1</v>
      </c>
      <c r="N24" s="26">
        <f t="shared" si="11"/>
        <v>10</v>
      </c>
      <c r="O24" s="26">
        <f>169-124</f>
        <v>45</v>
      </c>
      <c r="P24" s="26">
        <f>36-35</f>
        <v>1</v>
      </c>
      <c r="Q24" s="26">
        <f t="shared" si="12"/>
        <v>46</v>
      </c>
    </row>
    <row r="25" spans="1:17" ht="45.6" customHeight="1">
      <c r="A25" s="18" t="s">
        <v>89</v>
      </c>
      <c r="B25" s="19">
        <f>E25+H25</f>
        <v>0</v>
      </c>
      <c r="C25" s="20">
        <v>0</v>
      </c>
      <c r="D25" s="20">
        <v>0</v>
      </c>
      <c r="E25" s="21">
        <f t="shared" si="2"/>
        <v>0</v>
      </c>
      <c r="F25" s="20">
        <v>0</v>
      </c>
      <c r="G25" s="20">
        <v>0</v>
      </c>
      <c r="H25" s="21">
        <f t="shared" si="3"/>
        <v>0</v>
      </c>
      <c r="I25" s="21">
        <v>0</v>
      </c>
      <c r="J25" s="21">
        <v>0</v>
      </c>
      <c r="K25" s="22">
        <f t="shared" si="4"/>
        <v>0</v>
      </c>
      <c r="L25" s="20">
        <v>0</v>
      </c>
      <c r="M25" s="20">
        <v>0</v>
      </c>
      <c r="N25" s="20">
        <f t="shared" si="5"/>
        <v>0</v>
      </c>
      <c r="O25" s="20">
        <v>0</v>
      </c>
      <c r="P25" s="20">
        <v>0</v>
      </c>
      <c r="Q25" s="20">
        <f t="shared" si="6"/>
        <v>0</v>
      </c>
    </row>
    <row r="26" spans="1:17" ht="25.8" customHeight="1">
      <c r="A26" s="23" t="s">
        <v>80</v>
      </c>
      <c r="B26" s="19">
        <f>SUM(B27:B29)</f>
        <v>7098</v>
      </c>
      <c r="C26" s="20">
        <f>SUM(C27:C29)</f>
        <v>85</v>
      </c>
      <c r="D26" s="20">
        <f>SUM(D27:D29)</f>
        <v>2</v>
      </c>
      <c r="E26" s="21">
        <f t="shared" ref="E26:E34" si="15">SUM(C26:D26)</f>
        <v>87</v>
      </c>
      <c r="F26" s="20">
        <f>SUM(F27:F29)</f>
        <v>6999</v>
      </c>
      <c r="G26" s="20">
        <f>SUM(G27:G29)</f>
        <v>12</v>
      </c>
      <c r="H26" s="21">
        <f t="shared" ref="H26:H34" si="16">SUM(F26:G26)</f>
        <v>7011</v>
      </c>
      <c r="I26" s="21">
        <f>SUM(I27:I29)</f>
        <v>183</v>
      </c>
      <c r="J26" s="21">
        <f>SUM(J27:J29)</f>
        <v>2203</v>
      </c>
      <c r="K26" s="22">
        <f t="shared" ref="K26:K34" si="17">SUM(I26:J26)</f>
        <v>2386</v>
      </c>
      <c r="L26" s="20">
        <f>SUM(L27:L29)</f>
        <v>1510</v>
      </c>
      <c r="M26" s="20">
        <f>SUM(M27:M29)</f>
        <v>576</v>
      </c>
      <c r="N26" s="20">
        <f t="shared" ref="N26:N34" si="18">SUM(L26:M26)</f>
        <v>2086</v>
      </c>
      <c r="O26" s="20">
        <f>SUM(O27:O29)</f>
        <v>253</v>
      </c>
      <c r="P26" s="20">
        <f>SUM(P27:P29)</f>
        <v>47</v>
      </c>
      <c r="Q26" s="20">
        <f t="shared" ref="Q26:Q34" si="19">SUM(O26:P26)</f>
        <v>300</v>
      </c>
    </row>
    <row r="27" spans="1:17" ht="25.8" customHeight="1">
      <c r="A27" s="24" t="s">
        <v>33</v>
      </c>
      <c r="B27" s="25">
        <f>E27+H27</f>
        <v>42</v>
      </c>
      <c r="C27" s="26">
        <v>11</v>
      </c>
      <c r="D27" s="26">
        <v>0</v>
      </c>
      <c r="E27" s="27">
        <f t="shared" si="15"/>
        <v>11</v>
      </c>
      <c r="F27" s="26">
        <v>31</v>
      </c>
      <c r="G27" s="26">
        <v>0</v>
      </c>
      <c r="H27" s="27">
        <f t="shared" si="16"/>
        <v>31</v>
      </c>
      <c r="I27" s="27">
        <v>12</v>
      </c>
      <c r="J27" s="27">
        <v>29</v>
      </c>
      <c r="K27" s="28">
        <f t="shared" si="17"/>
        <v>41</v>
      </c>
      <c r="L27" s="26">
        <v>15</v>
      </c>
      <c r="M27" s="26">
        <v>5</v>
      </c>
      <c r="N27" s="26">
        <f t="shared" si="18"/>
        <v>20</v>
      </c>
      <c r="O27" s="26">
        <v>13</v>
      </c>
      <c r="P27" s="26">
        <v>8</v>
      </c>
      <c r="Q27" s="26">
        <f t="shared" si="19"/>
        <v>21</v>
      </c>
    </row>
    <row r="28" spans="1:17" ht="25.8" customHeight="1">
      <c r="A28" s="24" t="s">
        <v>34</v>
      </c>
      <c r="B28" s="25">
        <f>E28+H28</f>
        <v>3</v>
      </c>
      <c r="C28" s="26">
        <v>0</v>
      </c>
      <c r="D28" s="26">
        <v>0</v>
      </c>
      <c r="E28" s="27">
        <f t="shared" si="15"/>
        <v>0</v>
      </c>
      <c r="F28" s="26">
        <v>3</v>
      </c>
      <c r="G28" s="26">
        <v>0</v>
      </c>
      <c r="H28" s="27">
        <f t="shared" si="16"/>
        <v>3</v>
      </c>
      <c r="I28" s="26">
        <v>0</v>
      </c>
      <c r="J28" s="26">
        <v>0</v>
      </c>
      <c r="K28" s="28">
        <f t="shared" si="17"/>
        <v>0</v>
      </c>
      <c r="L28" s="26">
        <v>0</v>
      </c>
      <c r="M28" s="26">
        <v>0</v>
      </c>
      <c r="N28" s="26">
        <f t="shared" si="18"/>
        <v>0</v>
      </c>
      <c r="O28" s="26">
        <v>0</v>
      </c>
      <c r="P28" s="26">
        <v>0</v>
      </c>
      <c r="Q28" s="26">
        <f t="shared" si="19"/>
        <v>0</v>
      </c>
    </row>
    <row r="29" spans="1:17" ht="25.8" customHeight="1">
      <c r="A29" s="30" t="s">
        <v>81</v>
      </c>
      <c r="B29" s="25">
        <f>E29+H29</f>
        <v>7053</v>
      </c>
      <c r="C29" s="26">
        <f>85-11</f>
        <v>74</v>
      </c>
      <c r="D29" s="26">
        <v>2</v>
      </c>
      <c r="E29" s="27">
        <f t="shared" si="15"/>
        <v>76</v>
      </c>
      <c r="F29" s="26">
        <f>6999-34</f>
        <v>6965</v>
      </c>
      <c r="G29" s="26">
        <v>12</v>
      </c>
      <c r="H29" s="27">
        <f t="shared" si="16"/>
        <v>6977</v>
      </c>
      <c r="I29" s="27">
        <f>183-12</f>
        <v>171</v>
      </c>
      <c r="J29" s="27">
        <f>2203-29</f>
        <v>2174</v>
      </c>
      <c r="K29" s="28">
        <f t="shared" si="17"/>
        <v>2345</v>
      </c>
      <c r="L29" s="26">
        <f>1510-15</f>
        <v>1495</v>
      </c>
      <c r="M29" s="26">
        <f>576-5</f>
        <v>571</v>
      </c>
      <c r="N29" s="26">
        <f t="shared" si="18"/>
        <v>2066</v>
      </c>
      <c r="O29" s="26">
        <f>253-13</f>
        <v>240</v>
      </c>
      <c r="P29" s="26">
        <f>47-8</f>
        <v>39</v>
      </c>
      <c r="Q29" s="26">
        <f t="shared" si="19"/>
        <v>279</v>
      </c>
    </row>
    <row r="30" spans="1:17" ht="25.8" customHeight="1">
      <c r="A30" s="23" t="s">
        <v>82</v>
      </c>
      <c r="B30" s="19">
        <f>B31+B32</f>
        <v>2389</v>
      </c>
      <c r="C30" s="20">
        <f t="shared" ref="C30:M30" si="20">SUM(C31:C32)</f>
        <v>30</v>
      </c>
      <c r="D30" s="20">
        <f t="shared" si="20"/>
        <v>0</v>
      </c>
      <c r="E30" s="21">
        <f t="shared" si="15"/>
        <v>30</v>
      </c>
      <c r="F30" s="20">
        <f t="shared" si="20"/>
        <v>2322</v>
      </c>
      <c r="G30" s="20">
        <f t="shared" si="20"/>
        <v>37</v>
      </c>
      <c r="H30" s="21">
        <f t="shared" si="16"/>
        <v>2359</v>
      </c>
      <c r="I30" s="21">
        <f>SUM(I31:I32)</f>
        <v>2407</v>
      </c>
      <c r="J30" s="21">
        <f>SUM(J31:J32)</f>
        <v>1063</v>
      </c>
      <c r="K30" s="22">
        <f t="shared" si="17"/>
        <v>3470</v>
      </c>
      <c r="L30" s="20">
        <f t="shared" si="20"/>
        <v>1116</v>
      </c>
      <c r="M30" s="20">
        <f t="shared" si="20"/>
        <v>213</v>
      </c>
      <c r="N30" s="20">
        <f t="shared" si="18"/>
        <v>1329</v>
      </c>
      <c r="O30" s="20">
        <f>SUM(O31:O32)</f>
        <v>1907</v>
      </c>
      <c r="P30" s="20">
        <f>SUM(P31:P32)</f>
        <v>234</v>
      </c>
      <c r="Q30" s="20">
        <f t="shared" si="19"/>
        <v>2141</v>
      </c>
    </row>
    <row r="31" spans="1:17" ht="25.8" customHeight="1">
      <c r="A31" s="24" t="s">
        <v>24</v>
      </c>
      <c r="B31" s="25">
        <f>E31+H31</f>
        <v>1164</v>
      </c>
      <c r="C31" s="26">
        <v>21</v>
      </c>
      <c r="D31" s="26">
        <v>0</v>
      </c>
      <c r="E31" s="27">
        <f t="shared" si="15"/>
        <v>21</v>
      </c>
      <c r="F31" s="26">
        <v>1134</v>
      </c>
      <c r="G31" s="26">
        <v>9</v>
      </c>
      <c r="H31" s="27">
        <f t="shared" si="16"/>
        <v>1143</v>
      </c>
      <c r="I31" s="27">
        <v>898</v>
      </c>
      <c r="J31" s="27">
        <v>659</v>
      </c>
      <c r="K31" s="28">
        <f t="shared" si="17"/>
        <v>1557</v>
      </c>
      <c r="L31" s="26">
        <v>472</v>
      </c>
      <c r="M31" s="26">
        <v>131</v>
      </c>
      <c r="N31" s="26">
        <f t="shared" si="18"/>
        <v>603</v>
      </c>
      <c r="O31" s="26">
        <v>850</v>
      </c>
      <c r="P31" s="26">
        <v>104</v>
      </c>
      <c r="Q31" s="26">
        <f t="shared" si="19"/>
        <v>954</v>
      </c>
    </row>
    <row r="32" spans="1:17" ht="25.8" customHeight="1">
      <c r="A32" s="24" t="s">
        <v>83</v>
      </c>
      <c r="B32" s="25">
        <f>E32+H32</f>
        <v>1225</v>
      </c>
      <c r="C32" s="26">
        <f>30-21</f>
        <v>9</v>
      </c>
      <c r="D32" s="26">
        <v>0</v>
      </c>
      <c r="E32" s="27">
        <f t="shared" si="15"/>
        <v>9</v>
      </c>
      <c r="F32" s="26">
        <f>2322-1134</f>
        <v>1188</v>
      </c>
      <c r="G32" s="26">
        <f>37-9</f>
        <v>28</v>
      </c>
      <c r="H32" s="27">
        <f t="shared" si="16"/>
        <v>1216</v>
      </c>
      <c r="I32" s="27">
        <f>2407-898</f>
        <v>1509</v>
      </c>
      <c r="J32" s="27">
        <f>1063-659</f>
        <v>404</v>
      </c>
      <c r="K32" s="28">
        <f t="shared" si="17"/>
        <v>1913</v>
      </c>
      <c r="L32" s="26">
        <f>1116-472</f>
        <v>644</v>
      </c>
      <c r="M32" s="26">
        <f>213-131</f>
        <v>82</v>
      </c>
      <c r="N32" s="26">
        <f t="shared" si="18"/>
        <v>726</v>
      </c>
      <c r="O32" s="26">
        <f>1907-850</f>
        <v>1057</v>
      </c>
      <c r="P32" s="26">
        <f>234-104</f>
        <v>130</v>
      </c>
      <c r="Q32" s="26">
        <f t="shared" si="19"/>
        <v>1187</v>
      </c>
    </row>
    <row r="33" spans="1:17" ht="30.6" customHeight="1">
      <c r="A33" s="18" t="s">
        <v>84</v>
      </c>
      <c r="B33" s="19">
        <f>E33+H33</f>
        <v>5511</v>
      </c>
      <c r="C33" s="20">
        <v>2</v>
      </c>
      <c r="D33" s="20">
        <v>0</v>
      </c>
      <c r="E33" s="21">
        <f t="shared" si="15"/>
        <v>2</v>
      </c>
      <c r="F33" s="20">
        <v>5497</v>
      </c>
      <c r="G33" s="20">
        <v>12</v>
      </c>
      <c r="H33" s="21">
        <f t="shared" si="16"/>
        <v>5509</v>
      </c>
      <c r="I33" s="21">
        <v>1123</v>
      </c>
      <c r="J33" s="21">
        <v>4565</v>
      </c>
      <c r="K33" s="22">
        <f t="shared" si="17"/>
        <v>5688</v>
      </c>
      <c r="L33" s="20">
        <v>3320</v>
      </c>
      <c r="M33" s="20">
        <v>677</v>
      </c>
      <c r="N33" s="20">
        <f t="shared" si="18"/>
        <v>3997</v>
      </c>
      <c r="O33" s="20">
        <v>1447</v>
      </c>
      <c r="P33" s="20">
        <v>244</v>
      </c>
      <c r="Q33" s="20">
        <f t="shared" si="19"/>
        <v>1691</v>
      </c>
    </row>
    <row r="34" spans="1:17" ht="25.8" customHeight="1">
      <c r="A34" s="23" t="s">
        <v>85</v>
      </c>
      <c r="B34" s="19">
        <f>E34+H34</f>
        <v>114</v>
      </c>
      <c r="C34" s="20">
        <v>7</v>
      </c>
      <c r="D34" s="20">
        <v>0</v>
      </c>
      <c r="E34" s="21">
        <f t="shared" si="15"/>
        <v>7</v>
      </c>
      <c r="F34" s="20">
        <v>104</v>
      </c>
      <c r="G34" s="20">
        <v>3</v>
      </c>
      <c r="H34" s="21">
        <f t="shared" si="16"/>
        <v>107</v>
      </c>
      <c r="I34" s="21">
        <v>7</v>
      </c>
      <c r="J34" s="21">
        <v>120</v>
      </c>
      <c r="K34" s="22">
        <f t="shared" si="17"/>
        <v>127</v>
      </c>
      <c r="L34" s="20">
        <v>49</v>
      </c>
      <c r="M34" s="20">
        <v>36</v>
      </c>
      <c r="N34" s="20">
        <f t="shared" si="18"/>
        <v>85</v>
      </c>
      <c r="O34" s="20">
        <v>36</v>
      </c>
      <c r="P34" s="20">
        <v>6</v>
      </c>
      <c r="Q34" s="20">
        <f t="shared" si="19"/>
        <v>42</v>
      </c>
    </row>
    <row r="35" spans="1:17" ht="25.8" customHeight="1">
      <c r="A35" s="18" t="s">
        <v>90</v>
      </c>
      <c r="B35" s="19">
        <f>E35+H35</f>
        <v>47</v>
      </c>
      <c r="C35" s="20">
        <v>7</v>
      </c>
      <c r="D35" s="20">
        <v>0</v>
      </c>
      <c r="E35" s="21">
        <f t="shared" si="2"/>
        <v>7</v>
      </c>
      <c r="F35" s="20">
        <v>40</v>
      </c>
      <c r="G35" s="20">
        <v>0</v>
      </c>
      <c r="H35" s="21">
        <f t="shared" si="3"/>
        <v>40</v>
      </c>
      <c r="I35" s="21">
        <v>1</v>
      </c>
      <c r="J35" s="21">
        <v>14</v>
      </c>
      <c r="K35" s="22">
        <f t="shared" si="4"/>
        <v>15</v>
      </c>
      <c r="L35" s="20">
        <v>9</v>
      </c>
      <c r="M35" s="20">
        <v>0</v>
      </c>
      <c r="N35" s="20">
        <f t="shared" si="5"/>
        <v>9</v>
      </c>
      <c r="O35" s="20">
        <v>6</v>
      </c>
      <c r="P35" s="20">
        <v>0</v>
      </c>
      <c r="Q35" s="20">
        <f t="shared" si="6"/>
        <v>6</v>
      </c>
    </row>
    <row r="36" spans="1:17" ht="25.8" customHeight="1">
      <c r="A36" s="23" t="s">
        <v>25</v>
      </c>
      <c r="B36" s="19">
        <f>B37+B38+B39</f>
        <v>1007</v>
      </c>
      <c r="C36" s="20">
        <f t="shared" ref="C36:L36" si="21">SUM(C37:C39)</f>
        <v>437</v>
      </c>
      <c r="D36" s="20">
        <f t="shared" si="21"/>
        <v>24</v>
      </c>
      <c r="E36" s="21">
        <f t="shared" si="2"/>
        <v>461</v>
      </c>
      <c r="F36" s="20">
        <f t="shared" si="21"/>
        <v>505</v>
      </c>
      <c r="G36" s="20">
        <f t="shared" si="21"/>
        <v>41</v>
      </c>
      <c r="H36" s="21">
        <f t="shared" si="3"/>
        <v>546</v>
      </c>
      <c r="I36" s="21">
        <f>SUM(I37:I39)</f>
        <v>123</v>
      </c>
      <c r="J36" s="21">
        <f>SUM(J37:J39)</f>
        <v>415</v>
      </c>
      <c r="K36" s="22">
        <f t="shared" si="4"/>
        <v>538</v>
      </c>
      <c r="L36" s="20">
        <f t="shared" si="21"/>
        <v>122</v>
      </c>
      <c r="M36" s="20">
        <f>SUM(M37:M39)</f>
        <v>19</v>
      </c>
      <c r="N36" s="20">
        <f t="shared" si="5"/>
        <v>141</v>
      </c>
      <c r="O36" s="20">
        <f>SUM(O37:O39)</f>
        <v>310</v>
      </c>
      <c r="P36" s="20">
        <f>SUM(P37:P39)</f>
        <v>87</v>
      </c>
      <c r="Q36" s="20">
        <f t="shared" si="6"/>
        <v>397</v>
      </c>
    </row>
    <row r="37" spans="1:17" ht="25.8" customHeight="1">
      <c r="A37" s="24" t="s">
        <v>26</v>
      </c>
      <c r="B37" s="25">
        <f>E37+H37</f>
        <v>537</v>
      </c>
      <c r="C37" s="26">
        <v>71</v>
      </c>
      <c r="D37" s="26">
        <v>8</v>
      </c>
      <c r="E37" s="27">
        <f t="shared" si="2"/>
        <v>79</v>
      </c>
      <c r="F37" s="26">
        <v>419</v>
      </c>
      <c r="G37" s="26">
        <v>39</v>
      </c>
      <c r="H37" s="27">
        <f t="shared" si="3"/>
        <v>458</v>
      </c>
      <c r="I37" s="27">
        <v>60</v>
      </c>
      <c r="J37" s="27">
        <v>209</v>
      </c>
      <c r="K37" s="28">
        <f t="shared" si="4"/>
        <v>269</v>
      </c>
      <c r="L37" s="26">
        <v>74</v>
      </c>
      <c r="M37" s="26">
        <v>15</v>
      </c>
      <c r="N37" s="26">
        <f t="shared" si="5"/>
        <v>89</v>
      </c>
      <c r="O37" s="26">
        <v>153</v>
      </c>
      <c r="P37" s="26">
        <v>27</v>
      </c>
      <c r="Q37" s="26">
        <f t="shared" si="6"/>
        <v>180</v>
      </c>
    </row>
    <row r="38" spans="1:17" ht="25.8" customHeight="1">
      <c r="A38" s="24" t="s">
        <v>27</v>
      </c>
      <c r="B38" s="25">
        <f>E38+H38</f>
        <v>1</v>
      </c>
      <c r="C38" s="26">
        <v>1</v>
      </c>
      <c r="D38" s="26">
        <v>0</v>
      </c>
      <c r="E38" s="27">
        <f t="shared" si="2"/>
        <v>1</v>
      </c>
      <c r="F38" s="26">
        <v>0</v>
      </c>
      <c r="G38" s="26">
        <v>0</v>
      </c>
      <c r="H38" s="27">
        <f t="shared" si="3"/>
        <v>0</v>
      </c>
      <c r="I38" s="26">
        <v>1</v>
      </c>
      <c r="J38" s="27">
        <v>0</v>
      </c>
      <c r="K38" s="28">
        <f t="shared" si="4"/>
        <v>1</v>
      </c>
      <c r="L38" s="26">
        <v>0</v>
      </c>
      <c r="M38" s="26">
        <v>0</v>
      </c>
      <c r="N38" s="26">
        <f t="shared" si="5"/>
        <v>0</v>
      </c>
      <c r="O38" s="26">
        <v>1</v>
      </c>
      <c r="P38" s="26">
        <v>0</v>
      </c>
      <c r="Q38" s="26">
        <f t="shared" si="6"/>
        <v>1</v>
      </c>
    </row>
    <row r="39" spans="1:17" ht="25.8" customHeight="1">
      <c r="A39" s="24" t="s">
        <v>28</v>
      </c>
      <c r="B39" s="25">
        <f>E39+H39</f>
        <v>469</v>
      </c>
      <c r="C39" s="26">
        <f>437-72</f>
        <v>365</v>
      </c>
      <c r="D39" s="26">
        <f>24-8</f>
        <v>16</v>
      </c>
      <c r="E39" s="27">
        <f t="shared" si="2"/>
        <v>381</v>
      </c>
      <c r="F39" s="26">
        <f>505-419</f>
        <v>86</v>
      </c>
      <c r="G39" s="26">
        <v>2</v>
      </c>
      <c r="H39" s="27">
        <f t="shared" si="3"/>
        <v>88</v>
      </c>
      <c r="I39" s="27">
        <f>123-61</f>
        <v>62</v>
      </c>
      <c r="J39" s="27">
        <f>415-209</f>
        <v>206</v>
      </c>
      <c r="K39" s="28">
        <f t="shared" si="4"/>
        <v>268</v>
      </c>
      <c r="L39" s="26">
        <f>122-74</f>
        <v>48</v>
      </c>
      <c r="M39" s="26">
        <f>19-15</f>
        <v>4</v>
      </c>
      <c r="N39" s="26">
        <f t="shared" si="5"/>
        <v>52</v>
      </c>
      <c r="O39" s="26">
        <f>310-154</f>
        <v>156</v>
      </c>
      <c r="P39" s="26">
        <f>87-27</f>
        <v>60</v>
      </c>
      <c r="Q39" s="26">
        <f t="shared" si="6"/>
        <v>216</v>
      </c>
    </row>
    <row r="40" spans="1:17" ht="30.6" customHeight="1">
      <c r="A40" s="18" t="s">
        <v>78</v>
      </c>
      <c r="B40" s="19">
        <f>B41+B42</f>
        <v>488</v>
      </c>
      <c r="C40" s="20">
        <f t="shared" ref="C40:M40" si="22">SUM(C41:C42)</f>
        <v>1</v>
      </c>
      <c r="D40" s="20">
        <f t="shared" si="22"/>
        <v>0</v>
      </c>
      <c r="E40" s="21">
        <f t="shared" si="2"/>
        <v>1</v>
      </c>
      <c r="F40" s="20">
        <f t="shared" si="22"/>
        <v>485</v>
      </c>
      <c r="G40" s="20">
        <f t="shared" si="22"/>
        <v>2</v>
      </c>
      <c r="H40" s="21">
        <f t="shared" si="3"/>
        <v>487</v>
      </c>
      <c r="I40" s="21">
        <f>SUM(I41:I42)</f>
        <v>40</v>
      </c>
      <c r="J40" s="21">
        <f>SUM(J41:J42)</f>
        <v>328</v>
      </c>
      <c r="K40" s="22">
        <f t="shared" si="4"/>
        <v>368</v>
      </c>
      <c r="L40" s="20">
        <f t="shared" si="22"/>
        <v>210</v>
      </c>
      <c r="M40" s="20">
        <f t="shared" si="22"/>
        <v>32</v>
      </c>
      <c r="N40" s="20">
        <f t="shared" si="5"/>
        <v>242</v>
      </c>
      <c r="O40" s="20">
        <f>SUM(O41:O42)</f>
        <v>106</v>
      </c>
      <c r="P40" s="20">
        <f>SUM(P41:P42)</f>
        <v>20</v>
      </c>
      <c r="Q40" s="20">
        <f t="shared" si="6"/>
        <v>126</v>
      </c>
    </row>
    <row r="41" spans="1:17" ht="25.8" customHeight="1">
      <c r="A41" s="32" t="s">
        <v>52</v>
      </c>
      <c r="B41" s="25">
        <f>E41+H41</f>
        <v>93</v>
      </c>
      <c r="C41" s="26">
        <v>1</v>
      </c>
      <c r="D41" s="26">
        <v>0</v>
      </c>
      <c r="E41" s="27">
        <f t="shared" si="2"/>
        <v>1</v>
      </c>
      <c r="F41" s="26">
        <v>91</v>
      </c>
      <c r="G41" s="26">
        <v>1</v>
      </c>
      <c r="H41" s="27">
        <f t="shared" si="3"/>
        <v>92</v>
      </c>
      <c r="I41" s="27">
        <v>16</v>
      </c>
      <c r="J41" s="27">
        <v>81</v>
      </c>
      <c r="K41" s="28">
        <f t="shared" si="4"/>
        <v>97</v>
      </c>
      <c r="L41" s="26">
        <v>15</v>
      </c>
      <c r="M41" s="26">
        <v>8</v>
      </c>
      <c r="N41" s="26">
        <f t="shared" si="5"/>
        <v>23</v>
      </c>
      <c r="O41" s="26">
        <v>56</v>
      </c>
      <c r="P41" s="26">
        <v>18</v>
      </c>
      <c r="Q41" s="26">
        <f t="shared" si="6"/>
        <v>74</v>
      </c>
    </row>
    <row r="42" spans="1:17" ht="30.6" customHeight="1">
      <c r="A42" s="30" t="s">
        <v>79</v>
      </c>
      <c r="B42" s="25">
        <f>E42+H42</f>
        <v>395</v>
      </c>
      <c r="C42" s="26">
        <v>0</v>
      </c>
      <c r="D42" s="26">
        <v>0</v>
      </c>
      <c r="E42" s="27">
        <f t="shared" si="2"/>
        <v>0</v>
      </c>
      <c r="F42" s="26">
        <f>485-91</f>
        <v>394</v>
      </c>
      <c r="G42" s="26">
        <v>1</v>
      </c>
      <c r="H42" s="27">
        <f t="shared" si="3"/>
        <v>395</v>
      </c>
      <c r="I42" s="27">
        <f>40-16</f>
        <v>24</v>
      </c>
      <c r="J42" s="27">
        <f>328-81</f>
        <v>247</v>
      </c>
      <c r="K42" s="28">
        <f t="shared" si="4"/>
        <v>271</v>
      </c>
      <c r="L42" s="26">
        <f>210-15</f>
        <v>195</v>
      </c>
      <c r="M42" s="26">
        <f>32-8</f>
        <v>24</v>
      </c>
      <c r="N42" s="26">
        <f t="shared" si="5"/>
        <v>219</v>
      </c>
      <c r="O42" s="26">
        <f>106-56</f>
        <v>50</v>
      </c>
      <c r="P42" s="26">
        <f>20-18</f>
        <v>2</v>
      </c>
      <c r="Q42" s="26">
        <f t="shared" si="6"/>
        <v>52</v>
      </c>
    </row>
    <row r="43" spans="1:17" ht="25.8" customHeight="1">
      <c r="A43" s="31" t="s">
        <v>2</v>
      </c>
      <c r="B43" s="19">
        <f>SUM(B44:B46)</f>
        <v>493</v>
      </c>
      <c r="C43" s="20">
        <f>SUM(C44:C46)</f>
        <v>94</v>
      </c>
      <c r="D43" s="20">
        <f>SUM(D44:D46)</f>
        <v>142</v>
      </c>
      <c r="E43" s="21">
        <f t="shared" si="2"/>
        <v>236</v>
      </c>
      <c r="F43" s="20">
        <f>SUM(F44:F46)</f>
        <v>253</v>
      </c>
      <c r="G43" s="20">
        <f>SUM(G44:G46)</f>
        <v>4</v>
      </c>
      <c r="H43" s="21">
        <f t="shared" si="3"/>
        <v>257</v>
      </c>
      <c r="I43" s="21">
        <f>SUM(I44:I46)</f>
        <v>144</v>
      </c>
      <c r="J43" s="21">
        <f>SUM(J44:J46)</f>
        <v>414</v>
      </c>
      <c r="K43" s="22">
        <f t="shared" si="4"/>
        <v>558</v>
      </c>
      <c r="L43" s="20">
        <f>SUM(L44:L46)</f>
        <v>166</v>
      </c>
      <c r="M43" s="20">
        <f>SUM(M44:M46)</f>
        <v>55</v>
      </c>
      <c r="N43" s="20">
        <f t="shared" si="5"/>
        <v>221</v>
      </c>
      <c r="O43" s="20">
        <f>SUM(O44:O46)</f>
        <v>296</v>
      </c>
      <c r="P43" s="20">
        <f>SUM(P44:P46)</f>
        <v>41</v>
      </c>
      <c r="Q43" s="20">
        <f t="shared" si="6"/>
        <v>337</v>
      </c>
    </row>
    <row r="44" spans="1:17" ht="25.8" customHeight="1">
      <c r="A44" s="24" t="s">
        <v>47</v>
      </c>
      <c r="B44" s="25">
        <f>E44+H44</f>
        <v>228</v>
      </c>
      <c r="C44" s="26">
        <v>85</v>
      </c>
      <c r="D44" s="26">
        <v>141</v>
      </c>
      <c r="E44" s="27">
        <f t="shared" si="2"/>
        <v>226</v>
      </c>
      <c r="F44" s="26">
        <v>0</v>
      </c>
      <c r="G44" s="26">
        <v>2</v>
      </c>
      <c r="H44" s="27">
        <f t="shared" si="3"/>
        <v>2</v>
      </c>
      <c r="I44" s="27">
        <v>85</v>
      </c>
      <c r="J44" s="27">
        <v>179</v>
      </c>
      <c r="K44" s="28">
        <f t="shared" si="4"/>
        <v>264</v>
      </c>
      <c r="L44" s="26">
        <v>74</v>
      </c>
      <c r="M44" s="26">
        <v>17</v>
      </c>
      <c r="N44" s="26">
        <f t="shared" si="5"/>
        <v>91</v>
      </c>
      <c r="O44" s="26">
        <v>155</v>
      </c>
      <c r="P44" s="26">
        <v>18</v>
      </c>
      <c r="Q44" s="26">
        <f t="shared" si="6"/>
        <v>173</v>
      </c>
    </row>
    <row r="45" spans="1:17" ht="25.8" customHeight="1">
      <c r="A45" s="24" t="s">
        <v>48</v>
      </c>
      <c r="B45" s="25">
        <f>E45+H45</f>
        <v>32</v>
      </c>
      <c r="C45" s="26">
        <v>2</v>
      </c>
      <c r="D45" s="26">
        <v>0</v>
      </c>
      <c r="E45" s="27">
        <f t="shared" si="2"/>
        <v>2</v>
      </c>
      <c r="F45" s="26">
        <v>30</v>
      </c>
      <c r="G45" s="26">
        <v>0</v>
      </c>
      <c r="H45" s="27">
        <f t="shared" si="3"/>
        <v>30</v>
      </c>
      <c r="I45" s="27">
        <v>2</v>
      </c>
      <c r="J45" s="27">
        <v>32</v>
      </c>
      <c r="K45" s="28">
        <f t="shared" si="4"/>
        <v>34</v>
      </c>
      <c r="L45" s="26">
        <v>11</v>
      </c>
      <c r="M45" s="26">
        <v>1</v>
      </c>
      <c r="N45" s="26">
        <f t="shared" si="5"/>
        <v>12</v>
      </c>
      <c r="O45" s="26">
        <v>20</v>
      </c>
      <c r="P45" s="26">
        <v>2</v>
      </c>
      <c r="Q45" s="26">
        <f t="shared" si="6"/>
        <v>22</v>
      </c>
    </row>
    <row r="46" spans="1:17" ht="25.8" customHeight="1">
      <c r="A46" s="24" t="s">
        <v>12</v>
      </c>
      <c r="B46" s="25">
        <f>E46+H46</f>
        <v>233</v>
      </c>
      <c r="C46" s="26">
        <f>94-87</f>
        <v>7</v>
      </c>
      <c r="D46" s="26">
        <v>1</v>
      </c>
      <c r="E46" s="27">
        <f t="shared" si="2"/>
        <v>8</v>
      </c>
      <c r="F46" s="26">
        <f>253-30</f>
        <v>223</v>
      </c>
      <c r="G46" s="26">
        <v>2</v>
      </c>
      <c r="H46" s="27">
        <f t="shared" si="3"/>
        <v>225</v>
      </c>
      <c r="I46" s="27">
        <f>144-87</f>
        <v>57</v>
      </c>
      <c r="J46" s="27">
        <f>414-211</f>
        <v>203</v>
      </c>
      <c r="K46" s="28">
        <f t="shared" si="4"/>
        <v>260</v>
      </c>
      <c r="L46" s="26">
        <f>166-85</f>
        <v>81</v>
      </c>
      <c r="M46" s="26">
        <f>55-18</f>
        <v>37</v>
      </c>
      <c r="N46" s="26">
        <f t="shared" si="5"/>
        <v>118</v>
      </c>
      <c r="O46" s="26">
        <f>296-175</f>
        <v>121</v>
      </c>
      <c r="P46" s="26">
        <f>41-20</f>
        <v>21</v>
      </c>
      <c r="Q46" s="26">
        <f t="shared" si="6"/>
        <v>142</v>
      </c>
    </row>
    <row r="47" spans="1:17" ht="25.8" customHeight="1">
      <c r="A47" s="23" t="s">
        <v>93</v>
      </c>
      <c r="B47" s="19">
        <f>SUM(B48:B50)</f>
        <v>6279</v>
      </c>
      <c r="C47" s="20">
        <f>SUM(C48:C50)</f>
        <v>36</v>
      </c>
      <c r="D47" s="20">
        <f>SUM(D48:D50)</f>
        <v>16</v>
      </c>
      <c r="E47" s="21">
        <f t="shared" si="2"/>
        <v>52</v>
      </c>
      <c r="F47" s="20">
        <f>SUM(F48:F50)</f>
        <v>5848</v>
      </c>
      <c r="G47" s="20">
        <f>SUM(G48:G50)</f>
        <v>379</v>
      </c>
      <c r="H47" s="21">
        <f t="shared" si="3"/>
        <v>6227</v>
      </c>
      <c r="I47" s="21">
        <f>SUM(I48:I50)</f>
        <v>1116</v>
      </c>
      <c r="J47" s="21">
        <f>SUM(J48:J50)</f>
        <v>5200</v>
      </c>
      <c r="K47" s="22">
        <f t="shared" si="4"/>
        <v>6316</v>
      </c>
      <c r="L47" s="20">
        <f>SUM(L48:L50)</f>
        <v>2820</v>
      </c>
      <c r="M47" s="20">
        <f>SUM(M48:M50)</f>
        <v>658</v>
      </c>
      <c r="N47" s="20">
        <f t="shared" si="5"/>
        <v>3478</v>
      </c>
      <c r="O47" s="20">
        <f>SUM(O48:O50)</f>
        <v>2391</v>
      </c>
      <c r="P47" s="20">
        <f>SUM(P48:P50)</f>
        <v>447</v>
      </c>
      <c r="Q47" s="20">
        <f t="shared" si="6"/>
        <v>2838</v>
      </c>
    </row>
    <row r="48" spans="1:17" ht="30.6" customHeight="1">
      <c r="A48" s="32" t="s">
        <v>94</v>
      </c>
      <c r="B48" s="25">
        <f>E48+H48</f>
        <v>5877</v>
      </c>
      <c r="C48" s="26">
        <v>17</v>
      </c>
      <c r="D48" s="26">
        <v>8</v>
      </c>
      <c r="E48" s="27">
        <f t="shared" si="2"/>
        <v>25</v>
      </c>
      <c r="F48" s="26">
        <v>5486</v>
      </c>
      <c r="G48" s="26">
        <v>366</v>
      </c>
      <c r="H48" s="27">
        <f t="shared" si="3"/>
        <v>5852</v>
      </c>
      <c r="I48" s="27">
        <v>1031</v>
      </c>
      <c r="J48" s="27">
        <v>4896</v>
      </c>
      <c r="K48" s="28">
        <f t="shared" si="4"/>
        <v>5927</v>
      </c>
      <c r="L48" s="26">
        <v>2693</v>
      </c>
      <c r="M48" s="26">
        <v>628</v>
      </c>
      <c r="N48" s="26">
        <f t="shared" si="5"/>
        <v>3321</v>
      </c>
      <c r="O48" s="26">
        <v>2192</v>
      </c>
      <c r="P48" s="26">
        <v>414</v>
      </c>
      <c r="Q48" s="26">
        <f t="shared" si="6"/>
        <v>2606</v>
      </c>
    </row>
    <row r="49" spans="1:17" ht="25.8" customHeight="1">
      <c r="A49" s="24" t="s">
        <v>49</v>
      </c>
      <c r="B49" s="25">
        <f>E49+H49</f>
        <v>263</v>
      </c>
      <c r="C49" s="26">
        <v>0</v>
      </c>
      <c r="D49" s="26">
        <v>0</v>
      </c>
      <c r="E49" s="27">
        <f t="shared" si="2"/>
        <v>0</v>
      </c>
      <c r="F49" s="26">
        <v>262</v>
      </c>
      <c r="G49" s="26">
        <v>1</v>
      </c>
      <c r="H49" s="27">
        <f t="shared" si="3"/>
        <v>263</v>
      </c>
      <c r="I49" s="27">
        <v>14</v>
      </c>
      <c r="J49" s="27">
        <v>171</v>
      </c>
      <c r="K49" s="28">
        <f t="shared" si="4"/>
        <v>185</v>
      </c>
      <c r="L49" s="26">
        <v>68</v>
      </c>
      <c r="M49" s="26">
        <v>19</v>
      </c>
      <c r="N49" s="26">
        <f t="shared" si="5"/>
        <v>87</v>
      </c>
      <c r="O49" s="26">
        <v>81</v>
      </c>
      <c r="P49" s="26">
        <v>17</v>
      </c>
      <c r="Q49" s="26">
        <f t="shared" si="6"/>
        <v>98</v>
      </c>
    </row>
    <row r="50" spans="1:17" ht="25.8" customHeight="1">
      <c r="A50" s="24" t="s">
        <v>95</v>
      </c>
      <c r="B50" s="25">
        <f>E50+H50</f>
        <v>139</v>
      </c>
      <c r="C50" s="26">
        <f>36-17</f>
        <v>19</v>
      </c>
      <c r="D50" s="26">
        <v>8</v>
      </c>
      <c r="E50" s="27">
        <f t="shared" si="2"/>
        <v>27</v>
      </c>
      <c r="F50" s="26">
        <f>5848-5748</f>
        <v>100</v>
      </c>
      <c r="G50" s="26">
        <f>379-367</f>
        <v>12</v>
      </c>
      <c r="H50" s="27">
        <f t="shared" si="3"/>
        <v>112</v>
      </c>
      <c r="I50" s="27">
        <f>1116-1045</f>
        <v>71</v>
      </c>
      <c r="J50" s="27">
        <f>5200-5067</f>
        <v>133</v>
      </c>
      <c r="K50" s="28">
        <f t="shared" si="4"/>
        <v>204</v>
      </c>
      <c r="L50" s="26">
        <f>2820-2761</f>
        <v>59</v>
      </c>
      <c r="M50" s="26">
        <f>658-647</f>
        <v>11</v>
      </c>
      <c r="N50" s="26">
        <f t="shared" si="5"/>
        <v>70</v>
      </c>
      <c r="O50" s="26">
        <f>2391-2273</f>
        <v>118</v>
      </c>
      <c r="P50" s="26">
        <f>447-431</f>
        <v>16</v>
      </c>
      <c r="Q50" s="26">
        <f t="shared" si="6"/>
        <v>134</v>
      </c>
    </row>
    <row r="51" spans="1:17" ht="25.8" customHeight="1">
      <c r="A51" s="23" t="s">
        <v>3</v>
      </c>
      <c r="B51" s="19">
        <f>B52+B53</f>
        <v>6471</v>
      </c>
      <c r="C51" s="20">
        <f t="shared" ref="C51:M51" si="23">SUM(C52:C53)</f>
        <v>113</v>
      </c>
      <c r="D51" s="20">
        <f t="shared" si="23"/>
        <v>13</v>
      </c>
      <c r="E51" s="21">
        <f t="shared" si="2"/>
        <v>126</v>
      </c>
      <c r="F51" s="20">
        <f t="shared" si="23"/>
        <v>6305</v>
      </c>
      <c r="G51" s="20">
        <f t="shared" si="23"/>
        <v>40</v>
      </c>
      <c r="H51" s="21">
        <f t="shared" si="3"/>
        <v>6345</v>
      </c>
      <c r="I51" s="21">
        <f>SUM(I52:I53)</f>
        <v>1022</v>
      </c>
      <c r="J51" s="21">
        <f>SUM(J52:J53)</f>
        <v>6331</v>
      </c>
      <c r="K51" s="22">
        <f t="shared" si="4"/>
        <v>7353</v>
      </c>
      <c r="L51" s="20">
        <f t="shared" si="23"/>
        <v>3297</v>
      </c>
      <c r="M51" s="20">
        <f t="shared" si="23"/>
        <v>811</v>
      </c>
      <c r="N51" s="20">
        <f t="shared" si="5"/>
        <v>4108</v>
      </c>
      <c r="O51" s="20">
        <f>SUM(O52:O53)</f>
        <v>2736</v>
      </c>
      <c r="P51" s="20">
        <f>SUM(P52:P53)</f>
        <v>509</v>
      </c>
      <c r="Q51" s="20">
        <f t="shared" si="6"/>
        <v>3245</v>
      </c>
    </row>
    <row r="52" spans="1:17" ht="25.8" customHeight="1">
      <c r="A52" s="24" t="s">
        <v>29</v>
      </c>
      <c r="B52" s="25">
        <f>E52+H52</f>
        <v>65</v>
      </c>
      <c r="C52" s="26">
        <v>0</v>
      </c>
      <c r="D52" s="26">
        <v>0</v>
      </c>
      <c r="E52" s="27">
        <f t="shared" si="2"/>
        <v>0</v>
      </c>
      <c r="F52" s="26">
        <v>63</v>
      </c>
      <c r="G52" s="26">
        <v>2</v>
      </c>
      <c r="H52" s="27">
        <f t="shared" si="3"/>
        <v>65</v>
      </c>
      <c r="I52" s="27">
        <v>17</v>
      </c>
      <c r="J52" s="27">
        <v>292</v>
      </c>
      <c r="K52" s="28">
        <f t="shared" si="4"/>
        <v>309</v>
      </c>
      <c r="L52" s="26">
        <v>158</v>
      </c>
      <c r="M52" s="26">
        <v>48</v>
      </c>
      <c r="N52" s="26">
        <f t="shared" si="5"/>
        <v>206</v>
      </c>
      <c r="O52" s="26">
        <v>98</v>
      </c>
      <c r="P52" s="26">
        <v>5</v>
      </c>
      <c r="Q52" s="26">
        <f t="shared" si="6"/>
        <v>103</v>
      </c>
    </row>
    <row r="53" spans="1:17" ht="30.6" customHeight="1">
      <c r="A53" s="32" t="s">
        <v>30</v>
      </c>
      <c r="B53" s="25">
        <f>E53+H53</f>
        <v>6406</v>
      </c>
      <c r="C53" s="26">
        <v>113</v>
      </c>
      <c r="D53" s="26">
        <v>13</v>
      </c>
      <c r="E53" s="27">
        <f t="shared" si="2"/>
        <v>126</v>
      </c>
      <c r="F53" s="26">
        <f>6305-63</f>
        <v>6242</v>
      </c>
      <c r="G53" s="26">
        <f>40-2</f>
        <v>38</v>
      </c>
      <c r="H53" s="27">
        <f t="shared" si="3"/>
        <v>6280</v>
      </c>
      <c r="I53" s="27">
        <f>1022-17</f>
        <v>1005</v>
      </c>
      <c r="J53" s="27">
        <f>6331-292</f>
        <v>6039</v>
      </c>
      <c r="K53" s="28">
        <f t="shared" si="4"/>
        <v>7044</v>
      </c>
      <c r="L53" s="26">
        <f>3297-158</f>
        <v>3139</v>
      </c>
      <c r="M53" s="26">
        <f>811-48</f>
        <v>763</v>
      </c>
      <c r="N53" s="26">
        <f t="shared" si="5"/>
        <v>3902</v>
      </c>
      <c r="O53" s="26">
        <f>2736-98</f>
        <v>2638</v>
      </c>
      <c r="P53" s="26">
        <f>509-5</f>
        <v>504</v>
      </c>
      <c r="Q53" s="26">
        <f t="shared" si="6"/>
        <v>3142</v>
      </c>
    </row>
    <row r="54" spans="1:17" ht="25.8" customHeight="1">
      <c r="A54" s="23" t="s">
        <v>87</v>
      </c>
      <c r="B54" s="19">
        <f>B55+B56</f>
        <v>1192</v>
      </c>
      <c r="C54" s="20">
        <f>SUM(C55:C56)</f>
        <v>427</v>
      </c>
      <c r="D54" s="20">
        <f t="shared" ref="D54:L54" si="24">SUM(D55:D56)</f>
        <v>91</v>
      </c>
      <c r="E54" s="21">
        <f t="shared" si="2"/>
        <v>518</v>
      </c>
      <c r="F54" s="20">
        <f t="shared" si="24"/>
        <v>655</v>
      </c>
      <c r="G54" s="20">
        <f t="shared" si="24"/>
        <v>19</v>
      </c>
      <c r="H54" s="21">
        <f t="shared" si="3"/>
        <v>674</v>
      </c>
      <c r="I54" s="21">
        <f>SUM(I55:I56)</f>
        <v>474</v>
      </c>
      <c r="J54" s="21">
        <f>SUM(J55:J56)</f>
        <v>805</v>
      </c>
      <c r="K54" s="22">
        <f t="shared" si="4"/>
        <v>1279</v>
      </c>
      <c r="L54" s="20">
        <f t="shared" si="24"/>
        <v>381</v>
      </c>
      <c r="M54" s="20">
        <f>SUM(M55:M56)</f>
        <v>92</v>
      </c>
      <c r="N54" s="20">
        <f t="shared" si="5"/>
        <v>473</v>
      </c>
      <c r="O54" s="20">
        <f>SUM(O55:O56)</f>
        <v>682</v>
      </c>
      <c r="P54" s="20">
        <f>SUM(P55:P56)</f>
        <v>124</v>
      </c>
      <c r="Q54" s="20">
        <f t="shared" si="6"/>
        <v>806</v>
      </c>
    </row>
    <row r="55" spans="1:17" ht="25.8" customHeight="1">
      <c r="A55" s="24" t="s">
        <v>32</v>
      </c>
      <c r="B55" s="25">
        <f>E55+H55</f>
        <v>260</v>
      </c>
      <c r="C55" s="26">
        <v>168</v>
      </c>
      <c r="D55" s="26">
        <v>73</v>
      </c>
      <c r="E55" s="27">
        <f t="shared" si="2"/>
        <v>241</v>
      </c>
      <c r="F55" s="26">
        <v>8</v>
      </c>
      <c r="G55" s="26">
        <v>11</v>
      </c>
      <c r="H55" s="27">
        <f t="shared" si="3"/>
        <v>19</v>
      </c>
      <c r="I55" s="27">
        <v>110</v>
      </c>
      <c r="J55" s="27">
        <v>124</v>
      </c>
      <c r="K55" s="28">
        <f t="shared" si="4"/>
        <v>234</v>
      </c>
      <c r="L55" s="26">
        <v>63</v>
      </c>
      <c r="M55" s="26">
        <v>14</v>
      </c>
      <c r="N55" s="26">
        <f t="shared" si="5"/>
        <v>77</v>
      </c>
      <c r="O55" s="26">
        <v>142</v>
      </c>
      <c r="P55" s="26">
        <v>15</v>
      </c>
      <c r="Q55" s="26">
        <f t="shared" si="6"/>
        <v>157</v>
      </c>
    </row>
    <row r="56" spans="1:17" ht="25.8" customHeight="1">
      <c r="A56" s="32" t="s">
        <v>88</v>
      </c>
      <c r="B56" s="25">
        <f>E56+H56</f>
        <v>932</v>
      </c>
      <c r="C56" s="26">
        <f>427-168</f>
        <v>259</v>
      </c>
      <c r="D56" s="26">
        <f>91-73</f>
        <v>18</v>
      </c>
      <c r="E56" s="27">
        <f t="shared" si="2"/>
        <v>277</v>
      </c>
      <c r="F56" s="26">
        <f>655-8</f>
        <v>647</v>
      </c>
      <c r="G56" s="26">
        <f>19-11</f>
        <v>8</v>
      </c>
      <c r="H56" s="27">
        <f t="shared" si="3"/>
        <v>655</v>
      </c>
      <c r="I56" s="27">
        <f>474-110</f>
        <v>364</v>
      </c>
      <c r="J56" s="27">
        <f>805-124</f>
        <v>681</v>
      </c>
      <c r="K56" s="28">
        <f t="shared" si="4"/>
        <v>1045</v>
      </c>
      <c r="L56" s="26">
        <f>381-63</f>
        <v>318</v>
      </c>
      <c r="M56" s="26">
        <f>92-14</f>
        <v>78</v>
      </c>
      <c r="N56" s="26">
        <f t="shared" si="5"/>
        <v>396</v>
      </c>
      <c r="O56" s="26">
        <f>682-142</f>
        <v>540</v>
      </c>
      <c r="P56" s="26">
        <f>124-15</f>
        <v>109</v>
      </c>
      <c r="Q56" s="26">
        <f t="shared" si="6"/>
        <v>649</v>
      </c>
    </row>
    <row r="57" spans="1:17" s="33" customFormat="1" ht="25.8" customHeight="1">
      <c r="A57" s="23" t="s">
        <v>97</v>
      </c>
      <c r="B57" s="19">
        <f>E57+H57</f>
        <v>2521</v>
      </c>
      <c r="C57" s="20">
        <v>1</v>
      </c>
      <c r="D57" s="20">
        <v>0</v>
      </c>
      <c r="E57" s="21">
        <f t="shared" si="2"/>
        <v>1</v>
      </c>
      <c r="F57" s="20">
        <v>2517</v>
      </c>
      <c r="G57" s="20">
        <v>3</v>
      </c>
      <c r="H57" s="21">
        <f t="shared" si="3"/>
        <v>2520</v>
      </c>
      <c r="I57" s="21">
        <v>183</v>
      </c>
      <c r="J57" s="21">
        <v>2540</v>
      </c>
      <c r="K57" s="22">
        <f t="shared" si="4"/>
        <v>2723</v>
      </c>
      <c r="L57" s="20">
        <v>1690</v>
      </c>
      <c r="M57" s="20">
        <v>381</v>
      </c>
      <c r="N57" s="20">
        <f t="shared" si="5"/>
        <v>2071</v>
      </c>
      <c r="O57" s="20">
        <v>558</v>
      </c>
      <c r="P57" s="20">
        <v>94</v>
      </c>
      <c r="Q57" s="20">
        <f t="shared" si="6"/>
        <v>652</v>
      </c>
    </row>
    <row r="58" spans="1:17" ht="25.8" customHeight="1">
      <c r="A58" s="23" t="s">
        <v>13</v>
      </c>
      <c r="B58" s="19">
        <f>SUM(B59:B61)</f>
        <v>6498</v>
      </c>
      <c r="C58" s="20">
        <f t="shared" ref="C58:M58" si="25">SUM(C59:C61)</f>
        <v>4</v>
      </c>
      <c r="D58" s="20">
        <f t="shared" si="25"/>
        <v>0</v>
      </c>
      <c r="E58" s="21">
        <f t="shared" si="2"/>
        <v>4</v>
      </c>
      <c r="F58" s="20">
        <f t="shared" si="25"/>
        <v>6486</v>
      </c>
      <c r="G58" s="20">
        <f t="shared" si="25"/>
        <v>8</v>
      </c>
      <c r="H58" s="21">
        <f t="shared" si="3"/>
        <v>6494</v>
      </c>
      <c r="I58" s="21">
        <f>SUM(I59:I61)</f>
        <v>627</v>
      </c>
      <c r="J58" s="21">
        <f>SUM(J59:J61)</f>
        <v>6332</v>
      </c>
      <c r="K58" s="22">
        <f t="shared" si="4"/>
        <v>6959</v>
      </c>
      <c r="L58" s="20">
        <f t="shared" si="25"/>
        <v>3295</v>
      </c>
      <c r="M58" s="20">
        <f t="shared" si="25"/>
        <v>849</v>
      </c>
      <c r="N58" s="20">
        <f t="shared" si="5"/>
        <v>4144</v>
      </c>
      <c r="O58" s="20">
        <f>SUM(O59:O61)</f>
        <v>2344</v>
      </c>
      <c r="P58" s="20">
        <f>SUM(P59:P61)</f>
        <v>471</v>
      </c>
      <c r="Q58" s="20">
        <f t="shared" si="6"/>
        <v>2815</v>
      </c>
    </row>
    <row r="59" spans="1:17" ht="25.8" customHeight="1">
      <c r="A59" s="24" t="s">
        <v>14</v>
      </c>
      <c r="B59" s="25">
        <f>E59+H59</f>
        <v>5443</v>
      </c>
      <c r="C59" s="26">
        <v>2</v>
      </c>
      <c r="D59" s="26">
        <v>0</v>
      </c>
      <c r="E59" s="27">
        <f t="shared" si="2"/>
        <v>2</v>
      </c>
      <c r="F59" s="26">
        <v>5434</v>
      </c>
      <c r="G59" s="26">
        <v>7</v>
      </c>
      <c r="H59" s="27">
        <f t="shared" si="3"/>
        <v>5441</v>
      </c>
      <c r="I59" s="27">
        <v>553</v>
      </c>
      <c r="J59" s="27">
        <v>5362</v>
      </c>
      <c r="K59" s="28">
        <f t="shared" si="4"/>
        <v>5915</v>
      </c>
      <c r="L59" s="26">
        <v>2788</v>
      </c>
      <c r="M59" s="26">
        <v>690</v>
      </c>
      <c r="N59" s="26">
        <f t="shared" si="5"/>
        <v>3478</v>
      </c>
      <c r="O59" s="26">
        <v>2024</v>
      </c>
      <c r="P59" s="26">
        <v>413</v>
      </c>
      <c r="Q59" s="26">
        <f t="shared" si="6"/>
        <v>2437</v>
      </c>
    </row>
    <row r="60" spans="1:17" ht="25.8" customHeight="1">
      <c r="A60" s="24" t="s">
        <v>53</v>
      </c>
      <c r="B60" s="25">
        <f>E60+H60</f>
        <v>169</v>
      </c>
      <c r="C60" s="26">
        <v>0</v>
      </c>
      <c r="D60" s="26">
        <v>0</v>
      </c>
      <c r="E60" s="27">
        <f t="shared" si="2"/>
        <v>0</v>
      </c>
      <c r="F60" s="26">
        <v>169</v>
      </c>
      <c r="G60" s="26">
        <v>0</v>
      </c>
      <c r="H60" s="27">
        <f t="shared" si="3"/>
        <v>169</v>
      </c>
      <c r="I60" s="27">
        <v>28</v>
      </c>
      <c r="J60" s="27">
        <v>148</v>
      </c>
      <c r="K60" s="28">
        <f t="shared" si="4"/>
        <v>176</v>
      </c>
      <c r="L60" s="26">
        <v>69</v>
      </c>
      <c r="M60" s="26">
        <v>17</v>
      </c>
      <c r="N60" s="26">
        <f t="shared" si="5"/>
        <v>86</v>
      </c>
      <c r="O60" s="26">
        <v>77</v>
      </c>
      <c r="P60" s="26">
        <v>13</v>
      </c>
      <c r="Q60" s="26">
        <f t="shared" si="6"/>
        <v>90</v>
      </c>
    </row>
    <row r="61" spans="1:17" ht="25.8" customHeight="1">
      <c r="A61" s="24" t="s">
        <v>15</v>
      </c>
      <c r="B61" s="25">
        <f>E61+H61</f>
        <v>886</v>
      </c>
      <c r="C61" s="26">
        <v>2</v>
      </c>
      <c r="D61" s="26">
        <v>0</v>
      </c>
      <c r="E61" s="27">
        <f t="shared" si="2"/>
        <v>2</v>
      </c>
      <c r="F61" s="26">
        <f>6486-5603</f>
        <v>883</v>
      </c>
      <c r="G61" s="26">
        <v>1</v>
      </c>
      <c r="H61" s="27">
        <f t="shared" si="3"/>
        <v>884</v>
      </c>
      <c r="I61" s="27">
        <f>627-581</f>
        <v>46</v>
      </c>
      <c r="J61" s="27">
        <f>6332-5510</f>
        <v>822</v>
      </c>
      <c r="K61" s="28">
        <f t="shared" si="4"/>
        <v>868</v>
      </c>
      <c r="L61" s="26">
        <f>3295-2857</f>
        <v>438</v>
      </c>
      <c r="M61" s="26">
        <f>849-707</f>
        <v>142</v>
      </c>
      <c r="N61" s="26">
        <f t="shared" si="5"/>
        <v>580</v>
      </c>
      <c r="O61" s="26">
        <f>2344-2101</f>
        <v>243</v>
      </c>
      <c r="P61" s="26">
        <f>471-426</f>
        <v>45</v>
      </c>
      <c r="Q61" s="26">
        <f t="shared" si="6"/>
        <v>288</v>
      </c>
    </row>
    <row r="62" spans="1:17" ht="25.8" customHeight="1">
      <c r="A62" s="23" t="s">
        <v>4</v>
      </c>
      <c r="B62" s="19">
        <f>SUM(B63:B72)</f>
        <v>121865</v>
      </c>
      <c r="C62" s="20">
        <f>SUM(C63:C72)</f>
        <v>6364</v>
      </c>
      <c r="D62" s="20">
        <f>SUM(D63:D72)</f>
        <v>579</v>
      </c>
      <c r="E62" s="21">
        <f t="shared" si="2"/>
        <v>6943</v>
      </c>
      <c r="F62" s="20">
        <f>SUM(F63:F72)</f>
        <v>106630</v>
      </c>
      <c r="G62" s="20">
        <f>SUM(G63:G72)</f>
        <v>8292</v>
      </c>
      <c r="H62" s="21">
        <f t="shared" si="3"/>
        <v>114922</v>
      </c>
      <c r="I62" s="21">
        <f>SUM(I63:I72)</f>
        <v>8066</v>
      </c>
      <c r="J62" s="21">
        <f>SUM(J63:J72)</f>
        <v>25481</v>
      </c>
      <c r="K62" s="22">
        <f t="shared" si="4"/>
        <v>33547</v>
      </c>
      <c r="L62" s="20">
        <f>SUM(L63:L72)</f>
        <v>11806</v>
      </c>
      <c r="M62" s="20">
        <f>SUM(M63:M72)</f>
        <v>2769</v>
      </c>
      <c r="N62" s="20">
        <f t="shared" si="5"/>
        <v>14575</v>
      </c>
      <c r="O62" s="20">
        <f>SUM(O63:O72)</f>
        <v>15119</v>
      </c>
      <c r="P62" s="20">
        <f>SUM(P63:P72)</f>
        <v>3853</v>
      </c>
      <c r="Q62" s="20">
        <f t="shared" si="6"/>
        <v>18972</v>
      </c>
    </row>
    <row r="63" spans="1:17" ht="25.8" customHeight="1">
      <c r="A63" s="24" t="s">
        <v>62</v>
      </c>
      <c r="B63" s="25">
        <f>E63+H63</f>
        <v>1192</v>
      </c>
      <c r="C63" s="26">
        <v>909</v>
      </c>
      <c r="D63" s="26">
        <v>103</v>
      </c>
      <c r="E63" s="27">
        <f t="shared" si="2"/>
        <v>1012</v>
      </c>
      <c r="F63" s="26">
        <v>150</v>
      </c>
      <c r="G63" s="26">
        <v>30</v>
      </c>
      <c r="H63" s="27">
        <f t="shared" si="3"/>
        <v>180</v>
      </c>
      <c r="I63" s="27">
        <v>571</v>
      </c>
      <c r="J63" s="27">
        <v>1613</v>
      </c>
      <c r="K63" s="28">
        <f t="shared" si="4"/>
        <v>2184</v>
      </c>
      <c r="L63" s="26">
        <v>1094</v>
      </c>
      <c r="M63" s="26">
        <v>73</v>
      </c>
      <c r="N63" s="26">
        <f t="shared" si="5"/>
        <v>1167</v>
      </c>
      <c r="O63" s="26">
        <v>941</v>
      </c>
      <c r="P63" s="26">
        <v>76</v>
      </c>
      <c r="Q63" s="26">
        <f t="shared" si="6"/>
        <v>1017</v>
      </c>
    </row>
    <row r="64" spans="1:17" ht="25.8" customHeight="1">
      <c r="A64" s="24" t="s">
        <v>54</v>
      </c>
      <c r="B64" s="25">
        <f>E64+H64</f>
        <v>1333</v>
      </c>
      <c r="C64" s="26">
        <v>920</v>
      </c>
      <c r="D64" s="26">
        <v>63</v>
      </c>
      <c r="E64" s="27">
        <f t="shared" si="2"/>
        <v>983</v>
      </c>
      <c r="F64" s="26">
        <v>314</v>
      </c>
      <c r="G64" s="26">
        <v>36</v>
      </c>
      <c r="H64" s="27">
        <f t="shared" si="3"/>
        <v>350</v>
      </c>
      <c r="I64" s="27">
        <v>579</v>
      </c>
      <c r="J64" s="27">
        <v>1466</v>
      </c>
      <c r="K64" s="28">
        <f t="shared" si="4"/>
        <v>2045</v>
      </c>
      <c r="L64" s="26">
        <v>778</v>
      </c>
      <c r="M64" s="26">
        <v>149</v>
      </c>
      <c r="N64" s="26">
        <f t="shared" si="5"/>
        <v>927</v>
      </c>
      <c r="O64" s="26">
        <v>938</v>
      </c>
      <c r="P64" s="26">
        <v>180</v>
      </c>
      <c r="Q64" s="26">
        <f t="shared" si="6"/>
        <v>1118</v>
      </c>
    </row>
    <row r="65" spans="1:17" ht="25.8" customHeight="1">
      <c r="A65" s="24" t="s">
        <v>55</v>
      </c>
      <c r="B65" s="25">
        <f>E65+H65</f>
        <v>1264</v>
      </c>
      <c r="C65" s="26">
        <v>6</v>
      </c>
      <c r="D65" s="26">
        <v>0</v>
      </c>
      <c r="E65" s="27">
        <f t="shared" si="2"/>
        <v>6</v>
      </c>
      <c r="F65" s="26">
        <v>1238</v>
      </c>
      <c r="G65" s="26">
        <v>20</v>
      </c>
      <c r="H65" s="27">
        <f t="shared" si="3"/>
        <v>1258</v>
      </c>
      <c r="I65" s="27">
        <v>44</v>
      </c>
      <c r="J65" s="27">
        <v>234</v>
      </c>
      <c r="K65" s="28">
        <f t="shared" si="4"/>
        <v>278</v>
      </c>
      <c r="L65" s="26">
        <v>108</v>
      </c>
      <c r="M65" s="26">
        <v>4</v>
      </c>
      <c r="N65" s="26">
        <f t="shared" si="5"/>
        <v>112</v>
      </c>
      <c r="O65" s="26">
        <v>143</v>
      </c>
      <c r="P65" s="26">
        <v>23</v>
      </c>
      <c r="Q65" s="26">
        <f t="shared" si="6"/>
        <v>166</v>
      </c>
    </row>
    <row r="66" spans="1:17" ht="30.6" customHeight="1">
      <c r="A66" s="32" t="s">
        <v>56</v>
      </c>
      <c r="B66" s="25">
        <f t="shared" ref="B66:B71" si="26">E66+H66</f>
        <v>20</v>
      </c>
      <c r="C66" s="26">
        <v>1</v>
      </c>
      <c r="D66" s="26">
        <v>0</v>
      </c>
      <c r="E66" s="27">
        <f t="shared" ref="E66:E71" si="27">SUM(C66:D66)</f>
        <v>1</v>
      </c>
      <c r="F66" s="26">
        <v>19</v>
      </c>
      <c r="G66" s="26">
        <v>0</v>
      </c>
      <c r="H66" s="27">
        <f t="shared" ref="H66:H71" si="28">SUM(F66:G66)</f>
        <v>19</v>
      </c>
      <c r="I66" s="27">
        <v>8</v>
      </c>
      <c r="J66" s="27">
        <v>1</v>
      </c>
      <c r="K66" s="28">
        <f t="shared" ref="K66:K71" si="29">SUM(I66:J66)</f>
        <v>9</v>
      </c>
      <c r="L66" s="26">
        <v>4</v>
      </c>
      <c r="M66" s="26">
        <v>0</v>
      </c>
      <c r="N66" s="26">
        <f t="shared" ref="N66:N71" si="30">SUM(L66:M66)</f>
        <v>4</v>
      </c>
      <c r="O66" s="26">
        <v>3</v>
      </c>
      <c r="P66" s="26">
        <v>2</v>
      </c>
      <c r="Q66" s="26">
        <f t="shared" ref="Q66:Q71" si="31">SUM(O66:P66)</f>
        <v>5</v>
      </c>
    </row>
    <row r="67" spans="1:17" ht="25.8" customHeight="1">
      <c r="A67" s="24" t="s">
        <v>57</v>
      </c>
      <c r="B67" s="25">
        <f t="shared" si="26"/>
        <v>23644</v>
      </c>
      <c r="C67" s="26">
        <v>57</v>
      </c>
      <c r="D67" s="26">
        <v>8</v>
      </c>
      <c r="E67" s="27">
        <f t="shared" si="27"/>
        <v>65</v>
      </c>
      <c r="F67" s="26">
        <v>20453</v>
      </c>
      <c r="G67" s="26">
        <v>3126</v>
      </c>
      <c r="H67" s="27">
        <f t="shared" si="28"/>
        <v>23579</v>
      </c>
      <c r="I67" s="27">
        <v>1442</v>
      </c>
      <c r="J67" s="27">
        <v>4048</v>
      </c>
      <c r="K67" s="28">
        <f t="shared" si="29"/>
        <v>5490</v>
      </c>
      <c r="L67" s="26">
        <v>1983</v>
      </c>
      <c r="M67" s="26">
        <v>414</v>
      </c>
      <c r="N67" s="26">
        <f t="shared" si="30"/>
        <v>2397</v>
      </c>
      <c r="O67" s="26">
        <v>2475</v>
      </c>
      <c r="P67" s="26">
        <v>618</v>
      </c>
      <c r="Q67" s="26">
        <f t="shared" si="31"/>
        <v>3093</v>
      </c>
    </row>
    <row r="68" spans="1:17" ht="25.8" customHeight="1">
      <c r="A68" s="24" t="s">
        <v>58</v>
      </c>
      <c r="B68" s="25">
        <f t="shared" si="26"/>
        <v>83833</v>
      </c>
      <c r="C68" s="26">
        <v>141</v>
      </c>
      <c r="D68" s="26">
        <v>7</v>
      </c>
      <c r="E68" s="27">
        <f t="shared" si="27"/>
        <v>148</v>
      </c>
      <c r="F68" s="26">
        <v>78691</v>
      </c>
      <c r="G68" s="26">
        <v>4994</v>
      </c>
      <c r="H68" s="27">
        <f t="shared" si="28"/>
        <v>83685</v>
      </c>
      <c r="I68" s="27">
        <v>4099</v>
      </c>
      <c r="J68" s="27">
        <v>12177</v>
      </c>
      <c r="K68" s="28">
        <f t="shared" si="29"/>
        <v>16276</v>
      </c>
      <c r="L68" s="26">
        <v>5129</v>
      </c>
      <c r="M68" s="26">
        <v>1367</v>
      </c>
      <c r="N68" s="26">
        <f t="shared" si="30"/>
        <v>6496</v>
      </c>
      <c r="O68" s="26">
        <v>7591</v>
      </c>
      <c r="P68" s="26">
        <v>2189</v>
      </c>
      <c r="Q68" s="26">
        <f t="shared" si="31"/>
        <v>9780</v>
      </c>
    </row>
    <row r="69" spans="1:17" ht="25.8" customHeight="1">
      <c r="A69" s="24" t="s">
        <v>59</v>
      </c>
      <c r="B69" s="25">
        <f t="shared" si="26"/>
        <v>24</v>
      </c>
      <c r="C69" s="26">
        <v>0</v>
      </c>
      <c r="D69" s="26">
        <v>0</v>
      </c>
      <c r="E69" s="27">
        <f t="shared" si="27"/>
        <v>0</v>
      </c>
      <c r="F69" s="26">
        <v>23</v>
      </c>
      <c r="G69" s="26">
        <v>1</v>
      </c>
      <c r="H69" s="27">
        <f t="shared" si="28"/>
        <v>24</v>
      </c>
      <c r="I69" s="27">
        <v>8</v>
      </c>
      <c r="J69" s="27">
        <v>19</v>
      </c>
      <c r="K69" s="28">
        <f t="shared" si="29"/>
        <v>27</v>
      </c>
      <c r="L69" s="26">
        <v>6</v>
      </c>
      <c r="M69" s="26">
        <v>2</v>
      </c>
      <c r="N69" s="26">
        <f t="shared" si="30"/>
        <v>8</v>
      </c>
      <c r="O69" s="26">
        <v>17</v>
      </c>
      <c r="P69" s="26">
        <v>2</v>
      </c>
      <c r="Q69" s="26">
        <f t="shared" si="31"/>
        <v>19</v>
      </c>
    </row>
    <row r="70" spans="1:17" ht="25.8" customHeight="1">
      <c r="A70" s="24" t="s">
        <v>60</v>
      </c>
      <c r="B70" s="25">
        <f t="shared" si="26"/>
        <v>245</v>
      </c>
      <c r="C70" s="26">
        <v>199</v>
      </c>
      <c r="D70" s="26">
        <v>16</v>
      </c>
      <c r="E70" s="27">
        <f t="shared" si="27"/>
        <v>215</v>
      </c>
      <c r="F70" s="26">
        <v>29</v>
      </c>
      <c r="G70" s="26">
        <v>1</v>
      </c>
      <c r="H70" s="27">
        <f t="shared" si="28"/>
        <v>30</v>
      </c>
      <c r="I70" s="27">
        <v>18</v>
      </c>
      <c r="J70" s="27">
        <v>99</v>
      </c>
      <c r="K70" s="28">
        <f t="shared" si="29"/>
        <v>117</v>
      </c>
      <c r="L70" s="26">
        <v>15</v>
      </c>
      <c r="M70" s="26">
        <v>5</v>
      </c>
      <c r="N70" s="26">
        <f t="shared" si="30"/>
        <v>20</v>
      </c>
      <c r="O70" s="26">
        <v>80</v>
      </c>
      <c r="P70" s="26">
        <v>17</v>
      </c>
      <c r="Q70" s="26">
        <f t="shared" si="31"/>
        <v>97</v>
      </c>
    </row>
    <row r="71" spans="1:17" ht="25.8" customHeight="1">
      <c r="A71" s="24" t="s">
        <v>61</v>
      </c>
      <c r="B71" s="25">
        <f t="shared" si="26"/>
        <v>4889</v>
      </c>
      <c r="C71" s="26">
        <v>4063</v>
      </c>
      <c r="D71" s="26">
        <v>382</v>
      </c>
      <c r="E71" s="27">
        <f t="shared" si="27"/>
        <v>4445</v>
      </c>
      <c r="F71" s="26">
        <v>408</v>
      </c>
      <c r="G71" s="26">
        <v>36</v>
      </c>
      <c r="H71" s="27">
        <f t="shared" si="28"/>
        <v>444</v>
      </c>
      <c r="I71" s="27">
        <v>658</v>
      </c>
      <c r="J71" s="27">
        <v>2745</v>
      </c>
      <c r="K71" s="28">
        <f t="shared" si="29"/>
        <v>3403</v>
      </c>
      <c r="L71" s="26">
        <v>988</v>
      </c>
      <c r="M71" s="26">
        <v>289</v>
      </c>
      <c r="N71" s="26">
        <f t="shared" si="30"/>
        <v>1277</v>
      </c>
      <c r="O71" s="26">
        <v>1650</v>
      </c>
      <c r="P71" s="26">
        <v>476</v>
      </c>
      <c r="Q71" s="26">
        <f t="shared" si="31"/>
        <v>2126</v>
      </c>
    </row>
    <row r="72" spans="1:17" ht="25.8" customHeight="1">
      <c r="A72" s="24" t="s">
        <v>16</v>
      </c>
      <c r="B72" s="25">
        <f>E72+H72</f>
        <v>5421</v>
      </c>
      <c r="C72" s="26">
        <f>6364-6296</f>
        <v>68</v>
      </c>
      <c r="D72" s="26">
        <v>0</v>
      </c>
      <c r="E72" s="27">
        <f t="shared" si="2"/>
        <v>68</v>
      </c>
      <c r="F72" s="26">
        <f>106630-101325</f>
        <v>5305</v>
      </c>
      <c r="G72" s="26">
        <f>8292-8244</f>
        <v>48</v>
      </c>
      <c r="H72" s="27">
        <f t="shared" si="3"/>
        <v>5353</v>
      </c>
      <c r="I72" s="27">
        <f>8066-7427</f>
        <v>639</v>
      </c>
      <c r="J72" s="27">
        <f>25481-22402</f>
        <v>3079</v>
      </c>
      <c r="K72" s="28">
        <f t="shared" si="4"/>
        <v>3718</v>
      </c>
      <c r="L72" s="26">
        <f>11806-10105</f>
        <v>1701</v>
      </c>
      <c r="M72" s="26">
        <f>2769-2303</f>
        <v>466</v>
      </c>
      <c r="N72" s="26">
        <f t="shared" si="5"/>
        <v>2167</v>
      </c>
      <c r="O72" s="26">
        <f>15119-13838</f>
        <v>1281</v>
      </c>
      <c r="P72" s="26">
        <f>3853-3583</f>
        <v>270</v>
      </c>
      <c r="Q72" s="26">
        <f t="shared" si="6"/>
        <v>1551</v>
      </c>
    </row>
    <row r="73" spans="1:17" ht="25.8" customHeight="1">
      <c r="A73" s="23" t="s">
        <v>5</v>
      </c>
      <c r="B73" s="19">
        <f>SUM(B74:B76)</f>
        <v>5692</v>
      </c>
      <c r="C73" s="20">
        <f>SUM(C74:C76)</f>
        <v>199</v>
      </c>
      <c r="D73" s="20">
        <f>SUM(D74:D76)</f>
        <v>134</v>
      </c>
      <c r="E73" s="21">
        <f t="shared" si="2"/>
        <v>333</v>
      </c>
      <c r="F73" s="20">
        <f>SUM(F74:F76)</f>
        <v>4172</v>
      </c>
      <c r="G73" s="20">
        <f>SUM(G74:G76)</f>
        <v>1187</v>
      </c>
      <c r="H73" s="21">
        <f t="shared" si="3"/>
        <v>5359</v>
      </c>
      <c r="I73" s="21">
        <f>SUM(I74:I76)</f>
        <v>1054</v>
      </c>
      <c r="J73" s="21">
        <f>SUM(J74:J76)</f>
        <v>2551</v>
      </c>
      <c r="K73" s="22">
        <f t="shared" si="4"/>
        <v>3605</v>
      </c>
      <c r="L73" s="20">
        <f>SUM(L74:L76)</f>
        <v>1473</v>
      </c>
      <c r="M73" s="20">
        <f>SUM(M74:M76)</f>
        <v>401</v>
      </c>
      <c r="N73" s="20">
        <f t="shared" si="5"/>
        <v>1874</v>
      </c>
      <c r="O73" s="20">
        <f>SUM(O74:O76)</f>
        <v>1496</v>
      </c>
      <c r="P73" s="20">
        <f>SUM(P74:P76)</f>
        <v>235</v>
      </c>
      <c r="Q73" s="20">
        <f t="shared" si="6"/>
        <v>1731</v>
      </c>
    </row>
    <row r="74" spans="1:17" ht="25.8" customHeight="1">
      <c r="A74" s="24" t="s">
        <v>36</v>
      </c>
      <c r="B74" s="25">
        <f>E74+H74</f>
        <v>199</v>
      </c>
      <c r="C74" s="26">
        <v>44</v>
      </c>
      <c r="D74" s="26">
        <v>16</v>
      </c>
      <c r="E74" s="27">
        <f t="shared" si="2"/>
        <v>60</v>
      </c>
      <c r="F74" s="26">
        <v>102</v>
      </c>
      <c r="G74" s="26">
        <v>37</v>
      </c>
      <c r="H74" s="27">
        <f t="shared" si="3"/>
        <v>139</v>
      </c>
      <c r="I74" s="27">
        <v>71</v>
      </c>
      <c r="J74" s="27">
        <v>192</v>
      </c>
      <c r="K74" s="28">
        <f t="shared" si="4"/>
        <v>263</v>
      </c>
      <c r="L74" s="26">
        <v>80</v>
      </c>
      <c r="M74" s="26">
        <v>74</v>
      </c>
      <c r="N74" s="26">
        <f t="shared" si="5"/>
        <v>154</v>
      </c>
      <c r="O74" s="26">
        <v>88</v>
      </c>
      <c r="P74" s="26">
        <v>21</v>
      </c>
      <c r="Q74" s="26">
        <f t="shared" si="6"/>
        <v>109</v>
      </c>
    </row>
    <row r="75" spans="1:17" ht="25.8" customHeight="1">
      <c r="A75" s="24" t="s">
        <v>35</v>
      </c>
      <c r="B75" s="25">
        <f>E75+H75</f>
        <v>4501</v>
      </c>
      <c r="C75" s="26">
        <v>141</v>
      </c>
      <c r="D75" s="26">
        <v>118</v>
      </c>
      <c r="E75" s="27">
        <f t="shared" si="2"/>
        <v>259</v>
      </c>
      <c r="F75" s="26">
        <v>3116</v>
      </c>
      <c r="G75" s="26">
        <v>1126</v>
      </c>
      <c r="H75" s="27">
        <f t="shared" si="3"/>
        <v>4242</v>
      </c>
      <c r="I75" s="27">
        <v>648</v>
      </c>
      <c r="J75" s="27">
        <v>1517</v>
      </c>
      <c r="K75" s="28">
        <f t="shared" si="4"/>
        <v>2165</v>
      </c>
      <c r="L75" s="26">
        <v>924</v>
      </c>
      <c r="M75" s="26">
        <v>225</v>
      </c>
      <c r="N75" s="26">
        <f t="shared" si="5"/>
        <v>1149</v>
      </c>
      <c r="O75" s="26">
        <v>900</v>
      </c>
      <c r="P75" s="26">
        <v>116</v>
      </c>
      <c r="Q75" s="26">
        <f t="shared" si="6"/>
        <v>1016</v>
      </c>
    </row>
    <row r="76" spans="1:17" ht="30.6" customHeight="1">
      <c r="A76" s="32" t="s">
        <v>37</v>
      </c>
      <c r="B76" s="25">
        <f>E76+H76</f>
        <v>992</v>
      </c>
      <c r="C76" s="26">
        <f>199-185</f>
        <v>14</v>
      </c>
      <c r="D76" s="26">
        <v>0</v>
      </c>
      <c r="E76" s="27">
        <f t="shared" si="2"/>
        <v>14</v>
      </c>
      <c r="F76" s="26">
        <f>4172-3218</f>
        <v>954</v>
      </c>
      <c r="G76" s="26">
        <f>1187-1163</f>
        <v>24</v>
      </c>
      <c r="H76" s="27">
        <f t="shared" si="3"/>
        <v>978</v>
      </c>
      <c r="I76" s="27">
        <f>1054-719</f>
        <v>335</v>
      </c>
      <c r="J76" s="27">
        <f>2551-1709</f>
        <v>842</v>
      </c>
      <c r="K76" s="28">
        <f t="shared" si="4"/>
        <v>1177</v>
      </c>
      <c r="L76" s="26">
        <f>1473-1004</f>
        <v>469</v>
      </c>
      <c r="M76" s="26">
        <f>401-299</f>
        <v>102</v>
      </c>
      <c r="N76" s="26">
        <f t="shared" si="5"/>
        <v>571</v>
      </c>
      <c r="O76" s="26">
        <f>1496-988</f>
        <v>508</v>
      </c>
      <c r="P76" s="26">
        <f>235-137</f>
        <v>98</v>
      </c>
      <c r="Q76" s="26">
        <f t="shared" si="6"/>
        <v>606</v>
      </c>
    </row>
    <row r="77" spans="1:17" s="33" customFormat="1" ht="25.8" customHeight="1">
      <c r="A77" s="23" t="s">
        <v>17</v>
      </c>
      <c r="B77" s="19">
        <f>E77+H77</f>
        <v>77</v>
      </c>
      <c r="C77" s="20">
        <v>0</v>
      </c>
      <c r="D77" s="20">
        <v>0</v>
      </c>
      <c r="E77" s="21">
        <f t="shared" si="2"/>
        <v>0</v>
      </c>
      <c r="F77" s="20">
        <v>77</v>
      </c>
      <c r="G77" s="20">
        <v>0</v>
      </c>
      <c r="H77" s="21">
        <f t="shared" si="3"/>
        <v>77</v>
      </c>
      <c r="I77" s="21">
        <v>65</v>
      </c>
      <c r="J77" s="21">
        <v>87</v>
      </c>
      <c r="K77" s="22">
        <f t="shared" si="4"/>
        <v>152</v>
      </c>
      <c r="L77" s="20">
        <v>59</v>
      </c>
      <c r="M77" s="20">
        <v>12</v>
      </c>
      <c r="N77" s="20">
        <f t="shared" si="5"/>
        <v>71</v>
      </c>
      <c r="O77" s="20">
        <v>78</v>
      </c>
      <c r="P77" s="20">
        <v>3</v>
      </c>
      <c r="Q77" s="20">
        <f t="shared" si="6"/>
        <v>81</v>
      </c>
    </row>
    <row r="78" spans="1:17" s="33" customFormat="1" ht="25.8" customHeight="1">
      <c r="A78" s="23" t="s">
        <v>86</v>
      </c>
      <c r="B78" s="19">
        <f>E78+H78</f>
        <v>75</v>
      </c>
      <c r="C78" s="20">
        <v>0</v>
      </c>
      <c r="D78" s="20">
        <v>0</v>
      </c>
      <c r="E78" s="21">
        <f t="shared" si="2"/>
        <v>0</v>
      </c>
      <c r="F78" s="20">
        <v>75</v>
      </c>
      <c r="G78" s="20">
        <v>0</v>
      </c>
      <c r="H78" s="21">
        <f t="shared" si="3"/>
        <v>75</v>
      </c>
      <c r="I78" s="21">
        <v>27</v>
      </c>
      <c r="J78" s="21">
        <v>177</v>
      </c>
      <c r="K78" s="22">
        <f t="shared" si="4"/>
        <v>204</v>
      </c>
      <c r="L78" s="20">
        <v>64</v>
      </c>
      <c r="M78" s="20">
        <v>18</v>
      </c>
      <c r="N78" s="20">
        <f t="shared" si="5"/>
        <v>82</v>
      </c>
      <c r="O78" s="20">
        <v>107</v>
      </c>
      <c r="P78" s="20">
        <v>15</v>
      </c>
      <c r="Q78" s="20">
        <f t="shared" si="6"/>
        <v>122</v>
      </c>
    </row>
    <row r="79" spans="1:17" ht="32.4" customHeight="1">
      <c r="A79" s="34" t="s">
        <v>102</v>
      </c>
      <c r="B79" s="19">
        <f>SUM(B80:B99)</f>
        <v>32612</v>
      </c>
      <c r="C79" s="19">
        <f>SUM(C80:C99)</f>
        <v>3202</v>
      </c>
      <c r="D79" s="19">
        <f>SUM(D80:D99)</f>
        <v>36</v>
      </c>
      <c r="E79" s="17">
        <f t="shared" si="2"/>
        <v>3238</v>
      </c>
      <c r="F79" s="19">
        <f>SUM(F80:F99)</f>
        <v>29239</v>
      </c>
      <c r="G79" s="19">
        <f>SUM(G80:G99)</f>
        <v>135</v>
      </c>
      <c r="H79" s="17">
        <f t="shared" si="3"/>
        <v>29374</v>
      </c>
      <c r="I79" s="17">
        <f>SUM(I80:I99)</f>
        <v>8677</v>
      </c>
      <c r="J79" s="17">
        <f>SUM(J80:J99)</f>
        <v>30619</v>
      </c>
      <c r="K79" s="22">
        <f t="shared" si="4"/>
        <v>39296</v>
      </c>
      <c r="L79" s="19">
        <f>SUM(L80:L99)</f>
        <v>7348</v>
      </c>
      <c r="M79" s="19">
        <f>SUM(M80:M99)</f>
        <v>1491</v>
      </c>
      <c r="N79" s="19">
        <f t="shared" si="5"/>
        <v>8839</v>
      </c>
      <c r="O79" s="19">
        <f>SUM(O80:O99)</f>
        <v>26192</v>
      </c>
      <c r="P79" s="19">
        <f>SUM(P80:P99)</f>
        <v>4265</v>
      </c>
      <c r="Q79" s="19">
        <f t="shared" si="6"/>
        <v>30457</v>
      </c>
    </row>
    <row r="80" spans="1:17" ht="25.8" customHeight="1">
      <c r="A80" s="30" t="s">
        <v>67</v>
      </c>
      <c r="B80" s="25">
        <f>E80+H80</f>
        <v>199</v>
      </c>
      <c r="C80" s="26">
        <v>0</v>
      </c>
      <c r="D80" s="26">
        <v>0</v>
      </c>
      <c r="E80" s="27">
        <f t="shared" si="2"/>
        <v>0</v>
      </c>
      <c r="F80" s="26">
        <v>199</v>
      </c>
      <c r="G80" s="26">
        <v>0</v>
      </c>
      <c r="H80" s="27">
        <f t="shared" si="3"/>
        <v>199</v>
      </c>
      <c r="I80" s="27">
        <v>141</v>
      </c>
      <c r="J80" s="27">
        <v>194</v>
      </c>
      <c r="K80" s="28">
        <f t="shared" si="4"/>
        <v>335</v>
      </c>
      <c r="L80" s="26">
        <v>43</v>
      </c>
      <c r="M80" s="26">
        <v>9</v>
      </c>
      <c r="N80" s="26">
        <f t="shared" si="5"/>
        <v>52</v>
      </c>
      <c r="O80" s="26">
        <v>222</v>
      </c>
      <c r="P80" s="26">
        <v>61</v>
      </c>
      <c r="Q80" s="26">
        <f t="shared" si="6"/>
        <v>283</v>
      </c>
    </row>
    <row r="81" spans="1:17" ht="25.8" customHeight="1">
      <c r="A81" s="32" t="s">
        <v>106</v>
      </c>
      <c r="B81" s="25">
        <f t="shared" ref="B81:B99" si="32">E81+H81</f>
        <v>67</v>
      </c>
      <c r="C81" s="26">
        <v>0</v>
      </c>
      <c r="D81" s="26">
        <v>0</v>
      </c>
      <c r="E81" s="27">
        <f t="shared" si="2"/>
        <v>0</v>
      </c>
      <c r="F81" s="26">
        <v>67</v>
      </c>
      <c r="G81" s="26">
        <v>0</v>
      </c>
      <c r="H81" s="27">
        <f t="shared" si="3"/>
        <v>67</v>
      </c>
      <c r="I81" s="27">
        <v>21</v>
      </c>
      <c r="J81" s="27">
        <v>56</v>
      </c>
      <c r="K81" s="28">
        <f t="shared" si="4"/>
        <v>77</v>
      </c>
      <c r="L81" s="26">
        <v>39</v>
      </c>
      <c r="M81" s="26">
        <v>7</v>
      </c>
      <c r="N81" s="26">
        <f t="shared" si="5"/>
        <v>46</v>
      </c>
      <c r="O81" s="26">
        <v>28</v>
      </c>
      <c r="P81" s="26">
        <v>3</v>
      </c>
      <c r="Q81" s="26">
        <f t="shared" si="6"/>
        <v>31</v>
      </c>
    </row>
    <row r="82" spans="1:17" ht="30.6" customHeight="1">
      <c r="A82" s="32" t="s">
        <v>66</v>
      </c>
      <c r="B82" s="25">
        <f t="shared" si="32"/>
        <v>0</v>
      </c>
      <c r="C82" s="26">
        <v>0</v>
      </c>
      <c r="D82" s="26">
        <v>0</v>
      </c>
      <c r="E82" s="27">
        <f t="shared" ref="E82:E100" si="33">SUM(C82:D82)</f>
        <v>0</v>
      </c>
      <c r="F82" s="26">
        <v>0</v>
      </c>
      <c r="G82" s="26">
        <v>0</v>
      </c>
      <c r="H82" s="27">
        <f t="shared" ref="H82:H100" si="34">SUM(F82:G82)</f>
        <v>0</v>
      </c>
      <c r="I82" s="26">
        <v>0</v>
      </c>
      <c r="J82" s="26">
        <v>0</v>
      </c>
      <c r="K82" s="28">
        <f t="shared" si="4"/>
        <v>0</v>
      </c>
      <c r="L82" s="26">
        <v>0</v>
      </c>
      <c r="M82" s="26">
        <v>0</v>
      </c>
      <c r="N82" s="26">
        <f t="shared" si="5"/>
        <v>0</v>
      </c>
      <c r="O82" s="26">
        <v>0</v>
      </c>
      <c r="P82" s="26">
        <v>0</v>
      </c>
      <c r="Q82" s="26">
        <f t="shared" si="6"/>
        <v>0</v>
      </c>
    </row>
    <row r="83" spans="1:17" ht="25.8" customHeight="1">
      <c r="A83" s="24" t="s">
        <v>72</v>
      </c>
      <c r="B83" s="25">
        <f t="shared" si="32"/>
        <v>6743</v>
      </c>
      <c r="C83" s="26">
        <v>194</v>
      </c>
      <c r="D83" s="26">
        <v>4</v>
      </c>
      <c r="E83" s="27">
        <f t="shared" si="33"/>
        <v>198</v>
      </c>
      <c r="F83" s="26">
        <v>6507</v>
      </c>
      <c r="G83" s="26">
        <v>38</v>
      </c>
      <c r="H83" s="27">
        <f t="shared" si="34"/>
        <v>6545</v>
      </c>
      <c r="I83" s="27">
        <v>1333</v>
      </c>
      <c r="J83" s="27">
        <v>5500</v>
      </c>
      <c r="K83" s="28">
        <f t="shared" ref="K83:K100" si="35">SUM(I83:J83)</f>
        <v>6833</v>
      </c>
      <c r="L83" s="26">
        <v>1575</v>
      </c>
      <c r="M83" s="26">
        <v>289</v>
      </c>
      <c r="N83" s="26">
        <f t="shared" ref="N83:N100" si="36">SUM(L83:M83)</f>
        <v>1864</v>
      </c>
      <c r="O83" s="26">
        <v>4310</v>
      </c>
      <c r="P83" s="26">
        <v>659</v>
      </c>
      <c r="Q83" s="26">
        <f t="shared" ref="Q83:Q100" si="37">SUM(O83:P83)</f>
        <v>4969</v>
      </c>
    </row>
    <row r="84" spans="1:17" ht="61.2" customHeight="1">
      <c r="A84" s="32" t="s">
        <v>98</v>
      </c>
      <c r="B84" s="25">
        <f t="shared" si="32"/>
        <v>446</v>
      </c>
      <c r="C84" s="26">
        <v>1</v>
      </c>
      <c r="D84" s="26">
        <v>0</v>
      </c>
      <c r="E84" s="27">
        <f t="shared" si="33"/>
        <v>1</v>
      </c>
      <c r="F84" s="26">
        <v>445</v>
      </c>
      <c r="G84" s="26">
        <v>0</v>
      </c>
      <c r="H84" s="27">
        <f t="shared" si="34"/>
        <v>445</v>
      </c>
      <c r="I84" s="27">
        <v>40</v>
      </c>
      <c r="J84" s="27">
        <v>390</v>
      </c>
      <c r="K84" s="28">
        <f t="shared" si="35"/>
        <v>430</v>
      </c>
      <c r="L84" s="26">
        <v>60</v>
      </c>
      <c r="M84" s="26">
        <v>7</v>
      </c>
      <c r="N84" s="26">
        <f t="shared" si="36"/>
        <v>67</v>
      </c>
      <c r="O84" s="26">
        <v>330</v>
      </c>
      <c r="P84" s="26">
        <v>33</v>
      </c>
      <c r="Q84" s="26">
        <f t="shared" si="37"/>
        <v>363</v>
      </c>
    </row>
    <row r="85" spans="1:17" ht="25.8" customHeight="1">
      <c r="A85" s="24" t="s">
        <v>76</v>
      </c>
      <c r="B85" s="25">
        <f t="shared" si="32"/>
        <v>43</v>
      </c>
      <c r="C85" s="26">
        <v>9</v>
      </c>
      <c r="D85" s="26">
        <v>0</v>
      </c>
      <c r="E85" s="27">
        <f t="shared" si="33"/>
        <v>9</v>
      </c>
      <c r="F85" s="26">
        <v>34</v>
      </c>
      <c r="G85" s="26">
        <v>0</v>
      </c>
      <c r="H85" s="27">
        <f t="shared" si="34"/>
        <v>34</v>
      </c>
      <c r="I85" s="27">
        <v>1</v>
      </c>
      <c r="J85" s="27">
        <v>46</v>
      </c>
      <c r="K85" s="28">
        <f t="shared" si="35"/>
        <v>47</v>
      </c>
      <c r="L85" s="26">
        <v>6</v>
      </c>
      <c r="M85" s="26">
        <v>2</v>
      </c>
      <c r="N85" s="26">
        <f t="shared" si="36"/>
        <v>8</v>
      </c>
      <c r="O85" s="26">
        <v>34</v>
      </c>
      <c r="P85" s="26">
        <v>5</v>
      </c>
      <c r="Q85" s="26">
        <f t="shared" si="37"/>
        <v>39</v>
      </c>
    </row>
    <row r="86" spans="1:17" ht="25.8" customHeight="1">
      <c r="A86" s="24" t="s">
        <v>77</v>
      </c>
      <c r="B86" s="25">
        <f t="shared" si="32"/>
        <v>43</v>
      </c>
      <c r="C86" s="26">
        <v>9</v>
      </c>
      <c r="D86" s="26">
        <v>0</v>
      </c>
      <c r="E86" s="27">
        <f t="shared" si="33"/>
        <v>9</v>
      </c>
      <c r="F86" s="26">
        <v>34</v>
      </c>
      <c r="G86" s="26">
        <v>0</v>
      </c>
      <c r="H86" s="27">
        <f t="shared" si="34"/>
        <v>34</v>
      </c>
      <c r="I86" s="27">
        <v>1</v>
      </c>
      <c r="J86" s="27">
        <v>46</v>
      </c>
      <c r="K86" s="28">
        <f t="shared" si="35"/>
        <v>47</v>
      </c>
      <c r="L86" s="26">
        <v>6</v>
      </c>
      <c r="M86" s="26">
        <v>2</v>
      </c>
      <c r="N86" s="26">
        <f t="shared" si="36"/>
        <v>8</v>
      </c>
      <c r="O86" s="26">
        <v>34</v>
      </c>
      <c r="P86" s="26">
        <v>5</v>
      </c>
      <c r="Q86" s="26">
        <f t="shared" si="37"/>
        <v>39</v>
      </c>
    </row>
    <row r="87" spans="1:17" ht="25.8" customHeight="1">
      <c r="A87" s="24" t="s">
        <v>91</v>
      </c>
      <c r="B87" s="25">
        <f t="shared" si="32"/>
        <v>88</v>
      </c>
      <c r="C87" s="26">
        <v>0</v>
      </c>
      <c r="D87" s="26">
        <v>0</v>
      </c>
      <c r="E87" s="27">
        <f t="shared" si="33"/>
        <v>0</v>
      </c>
      <c r="F87" s="26">
        <v>87</v>
      </c>
      <c r="G87" s="26">
        <v>1</v>
      </c>
      <c r="H87" s="27">
        <f t="shared" si="34"/>
        <v>88</v>
      </c>
      <c r="I87" s="27">
        <v>27</v>
      </c>
      <c r="J87" s="27">
        <v>87</v>
      </c>
      <c r="K87" s="28">
        <f t="shared" si="35"/>
        <v>114</v>
      </c>
      <c r="L87" s="26">
        <v>22</v>
      </c>
      <c r="M87" s="26">
        <v>7</v>
      </c>
      <c r="N87" s="26">
        <f t="shared" si="36"/>
        <v>29</v>
      </c>
      <c r="O87" s="26">
        <v>76</v>
      </c>
      <c r="P87" s="26">
        <v>9</v>
      </c>
      <c r="Q87" s="26">
        <f t="shared" si="37"/>
        <v>85</v>
      </c>
    </row>
    <row r="88" spans="1:17" ht="30.6" customHeight="1">
      <c r="A88" s="32" t="s">
        <v>75</v>
      </c>
      <c r="B88" s="25">
        <f t="shared" si="32"/>
        <v>324</v>
      </c>
      <c r="C88" s="26">
        <v>131</v>
      </c>
      <c r="D88" s="26">
        <v>0</v>
      </c>
      <c r="E88" s="27">
        <f t="shared" si="33"/>
        <v>131</v>
      </c>
      <c r="F88" s="26">
        <v>193</v>
      </c>
      <c r="G88" s="26">
        <v>0</v>
      </c>
      <c r="H88" s="27">
        <f t="shared" si="34"/>
        <v>193</v>
      </c>
      <c r="I88" s="27">
        <v>293</v>
      </c>
      <c r="J88" s="27">
        <v>1198</v>
      </c>
      <c r="K88" s="28">
        <f t="shared" si="35"/>
        <v>1491</v>
      </c>
      <c r="L88" s="26">
        <v>198</v>
      </c>
      <c r="M88" s="26">
        <v>30</v>
      </c>
      <c r="N88" s="26">
        <f t="shared" si="36"/>
        <v>228</v>
      </c>
      <c r="O88" s="26">
        <v>986</v>
      </c>
      <c r="P88" s="26">
        <v>277</v>
      </c>
      <c r="Q88" s="26">
        <f t="shared" si="37"/>
        <v>1263</v>
      </c>
    </row>
    <row r="89" spans="1:17" ht="25.8" customHeight="1">
      <c r="A89" s="24" t="s">
        <v>68</v>
      </c>
      <c r="B89" s="25">
        <f t="shared" si="32"/>
        <v>640</v>
      </c>
      <c r="C89" s="26">
        <v>272</v>
      </c>
      <c r="D89" s="26">
        <v>1</v>
      </c>
      <c r="E89" s="27">
        <f t="shared" si="33"/>
        <v>273</v>
      </c>
      <c r="F89" s="26">
        <v>361</v>
      </c>
      <c r="G89" s="26">
        <v>6</v>
      </c>
      <c r="H89" s="27">
        <f t="shared" si="34"/>
        <v>367</v>
      </c>
      <c r="I89" s="27">
        <v>17</v>
      </c>
      <c r="J89" s="27">
        <v>127</v>
      </c>
      <c r="K89" s="28">
        <f t="shared" si="35"/>
        <v>144</v>
      </c>
      <c r="L89" s="26">
        <v>80</v>
      </c>
      <c r="M89" s="26">
        <v>6</v>
      </c>
      <c r="N89" s="26">
        <f t="shared" si="36"/>
        <v>86</v>
      </c>
      <c r="O89" s="26">
        <v>56</v>
      </c>
      <c r="P89" s="26">
        <v>2</v>
      </c>
      <c r="Q89" s="26">
        <f t="shared" si="37"/>
        <v>58</v>
      </c>
    </row>
    <row r="90" spans="1:17" ht="25.8" customHeight="1">
      <c r="A90" s="24" t="s">
        <v>69</v>
      </c>
      <c r="B90" s="25">
        <f t="shared" si="32"/>
        <v>274</v>
      </c>
      <c r="C90" s="26">
        <v>67</v>
      </c>
      <c r="D90" s="26">
        <v>2</v>
      </c>
      <c r="E90" s="27">
        <f t="shared" si="33"/>
        <v>69</v>
      </c>
      <c r="F90" s="26">
        <v>187</v>
      </c>
      <c r="G90" s="26">
        <v>18</v>
      </c>
      <c r="H90" s="27">
        <f t="shared" si="34"/>
        <v>205</v>
      </c>
      <c r="I90" s="27">
        <v>4</v>
      </c>
      <c r="J90" s="27">
        <v>69</v>
      </c>
      <c r="K90" s="28">
        <f t="shared" si="35"/>
        <v>73</v>
      </c>
      <c r="L90" s="26">
        <v>35</v>
      </c>
      <c r="M90" s="26">
        <v>12</v>
      </c>
      <c r="N90" s="26">
        <f t="shared" si="36"/>
        <v>47</v>
      </c>
      <c r="O90" s="26">
        <v>20</v>
      </c>
      <c r="P90" s="26">
        <v>6</v>
      </c>
      <c r="Q90" s="26">
        <f t="shared" si="37"/>
        <v>26</v>
      </c>
    </row>
    <row r="91" spans="1:17" ht="25.8" customHeight="1">
      <c r="A91" s="24" t="s">
        <v>64</v>
      </c>
      <c r="B91" s="25">
        <f t="shared" si="32"/>
        <v>18</v>
      </c>
      <c r="C91" s="26">
        <v>0</v>
      </c>
      <c r="D91" s="26">
        <v>0</v>
      </c>
      <c r="E91" s="27">
        <f t="shared" si="33"/>
        <v>0</v>
      </c>
      <c r="F91" s="26">
        <v>18</v>
      </c>
      <c r="G91" s="26">
        <v>0</v>
      </c>
      <c r="H91" s="27">
        <f t="shared" si="34"/>
        <v>18</v>
      </c>
      <c r="I91" s="27">
        <v>32</v>
      </c>
      <c r="J91" s="27">
        <v>18</v>
      </c>
      <c r="K91" s="28">
        <f t="shared" si="35"/>
        <v>50</v>
      </c>
      <c r="L91" s="26">
        <v>9</v>
      </c>
      <c r="M91" s="26">
        <v>1</v>
      </c>
      <c r="N91" s="26">
        <f t="shared" si="36"/>
        <v>10</v>
      </c>
      <c r="O91" s="26">
        <v>39</v>
      </c>
      <c r="P91" s="26">
        <v>1</v>
      </c>
      <c r="Q91" s="26">
        <f t="shared" si="37"/>
        <v>40</v>
      </c>
    </row>
    <row r="92" spans="1:17" ht="25.8" customHeight="1">
      <c r="A92" s="32" t="s">
        <v>65</v>
      </c>
      <c r="B92" s="25">
        <f t="shared" si="32"/>
        <v>163</v>
      </c>
      <c r="C92" s="26">
        <v>0</v>
      </c>
      <c r="D92" s="26">
        <v>0</v>
      </c>
      <c r="E92" s="27">
        <f t="shared" si="33"/>
        <v>0</v>
      </c>
      <c r="F92" s="26">
        <v>163</v>
      </c>
      <c r="G92" s="26">
        <v>0</v>
      </c>
      <c r="H92" s="27">
        <f t="shared" si="34"/>
        <v>163</v>
      </c>
      <c r="I92" s="27">
        <v>75</v>
      </c>
      <c r="J92" s="27">
        <v>129</v>
      </c>
      <c r="K92" s="28">
        <f t="shared" si="35"/>
        <v>204</v>
      </c>
      <c r="L92" s="26">
        <v>23</v>
      </c>
      <c r="M92" s="26">
        <v>11</v>
      </c>
      <c r="N92" s="26">
        <f t="shared" si="36"/>
        <v>34</v>
      </c>
      <c r="O92" s="26">
        <v>154</v>
      </c>
      <c r="P92" s="26">
        <v>16</v>
      </c>
      <c r="Q92" s="26">
        <f t="shared" si="37"/>
        <v>170</v>
      </c>
    </row>
    <row r="93" spans="1:17" ht="30.6" customHeight="1">
      <c r="A93" s="32" t="s">
        <v>99</v>
      </c>
      <c r="B93" s="25">
        <f t="shared" si="32"/>
        <v>117</v>
      </c>
      <c r="C93" s="26">
        <v>38</v>
      </c>
      <c r="D93" s="26">
        <v>0</v>
      </c>
      <c r="E93" s="27">
        <f t="shared" si="33"/>
        <v>38</v>
      </c>
      <c r="F93" s="26">
        <v>79</v>
      </c>
      <c r="G93" s="26">
        <v>0</v>
      </c>
      <c r="H93" s="27">
        <f t="shared" si="34"/>
        <v>79</v>
      </c>
      <c r="I93" s="27">
        <v>27</v>
      </c>
      <c r="J93" s="27">
        <v>213</v>
      </c>
      <c r="K93" s="28">
        <f t="shared" si="35"/>
        <v>240</v>
      </c>
      <c r="L93" s="26">
        <v>30</v>
      </c>
      <c r="M93" s="26">
        <v>9</v>
      </c>
      <c r="N93" s="26">
        <f t="shared" si="36"/>
        <v>39</v>
      </c>
      <c r="O93" s="26">
        <v>181</v>
      </c>
      <c r="P93" s="26">
        <v>20</v>
      </c>
      <c r="Q93" s="26">
        <f t="shared" si="37"/>
        <v>201</v>
      </c>
    </row>
    <row r="94" spans="1:17" ht="25.8" customHeight="1">
      <c r="A94" s="24" t="s">
        <v>107</v>
      </c>
      <c r="B94" s="25">
        <f t="shared" si="32"/>
        <v>3846</v>
      </c>
      <c r="C94" s="26">
        <v>8</v>
      </c>
      <c r="D94" s="26">
        <v>0</v>
      </c>
      <c r="E94" s="27">
        <f t="shared" si="33"/>
        <v>8</v>
      </c>
      <c r="F94" s="26">
        <v>3830</v>
      </c>
      <c r="G94" s="26">
        <v>8</v>
      </c>
      <c r="H94" s="27">
        <f t="shared" si="34"/>
        <v>3838</v>
      </c>
      <c r="I94" s="27">
        <v>512</v>
      </c>
      <c r="J94" s="27">
        <v>3495</v>
      </c>
      <c r="K94" s="28">
        <f t="shared" si="35"/>
        <v>4007</v>
      </c>
      <c r="L94" s="26">
        <v>2014</v>
      </c>
      <c r="M94" s="26">
        <v>439</v>
      </c>
      <c r="N94" s="26">
        <f t="shared" si="36"/>
        <v>2453</v>
      </c>
      <c r="O94" s="26">
        <v>1319</v>
      </c>
      <c r="P94" s="26">
        <v>235</v>
      </c>
      <c r="Q94" s="26">
        <f t="shared" si="37"/>
        <v>1554</v>
      </c>
    </row>
    <row r="95" spans="1:17" ht="25.8" customHeight="1">
      <c r="A95" s="24" t="s">
        <v>70</v>
      </c>
      <c r="B95" s="25">
        <f t="shared" si="32"/>
        <v>12264</v>
      </c>
      <c r="C95" s="26">
        <v>2440</v>
      </c>
      <c r="D95" s="26">
        <v>28</v>
      </c>
      <c r="E95" s="27">
        <f t="shared" si="33"/>
        <v>2468</v>
      </c>
      <c r="F95" s="26">
        <v>9767</v>
      </c>
      <c r="G95" s="26">
        <v>29</v>
      </c>
      <c r="H95" s="27">
        <f t="shared" si="34"/>
        <v>9796</v>
      </c>
      <c r="I95" s="27">
        <v>3409</v>
      </c>
      <c r="J95" s="27">
        <v>12720</v>
      </c>
      <c r="K95" s="28">
        <f t="shared" si="35"/>
        <v>16129</v>
      </c>
      <c r="L95" s="26">
        <v>1509</v>
      </c>
      <c r="M95" s="26">
        <v>227</v>
      </c>
      <c r="N95" s="26">
        <f t="shared" si="36"/>
        <v>1736</v>
      </c>
      <c r="O95" s="26">
        <v>12632</v>
      </c>
      <c r="P95" s="26">
        <v>1761</v>
      </c>
      <c r="Q95" s="26">
        <f t="shared" si="37"/>
        <v>14393</v>
      </c>
    </row>
    <row r="96" spans="1:17" ht="25.8" customHeight="1">
      <c r="A96" s="24" t="s">
        <v>71</v>
      </c>
      <c r="B96" s="25">
        <f t="shared" si="32"/>
        <v>127</v>
      </c>
      <c r="C96" s="26">
        <v>1</v>
      </c>
      <c r="D96" s="26">
        <v>0</v>
      </c>
      <c r="E96" s="27">
        <f t="shared" si="33"/>
        <v>1</v>
      </c>
      <c r="F96" s="26">
        <v>124</v>
      </c>
      <c r="G96" s="26">
        <v>2</v>
      </c>
      <c r="H96" s="27">
        <f t="shared" si="34"/>
        <v>126</v>
      </c>
      <c r="I96" s="27">
        <v>90</v>
      </c>
      <c r="J96" s="27">
        <v>87</v>
      </c>
      <c r="K96" s="28">
        <f t="shared" si="35"/>
        <v>177</v>
      </c>
      <c r="L96" s="26">
        <v>22</v>
      </c>
      <c r="M96" s="26">
        <v>1</v>
      </c>
      <c r="N96" s="26">
        <f t="shared" si="36"/>
        <v>23</v>
      </c>
      <c r="O96" s="26">
        <v>138</v>
      </c>
      <c r="P96" s="26">
        <v>16</v>
      </c>
      <c r="Q96" s="26">
        <f t="shared" si="37"/>
        <v>154</v>
      </c>
    </row>
    <row r="97" spans="1:17" ht="25.8" customHeight="1">
      <c r="A97" s="32" t="s">
        <v>63</v>
      </c>
      <c r="B97" s="25">
        <f t="shared" si="32"/>
        <v>950</v>
      </c>
      <c r="C97" s="26">
        <v>3</v>
      </c>
      <c r="D97" s="26">
        <v>0</v>
      </c>
      <c r="E97" s="27">
        <f t="shared" si="33"/>
        <v>3</v>
      </c>
      <c r="F97" s="26">
        <v>945</v>
      </c>
      <c r="G97" s="26">
        <v>2</v>
      </c>
      <c r="H97" s="27">
        <f t="shared" si="34"/>
        <v>947</v>
      </c>
      <c r="I97" s="27">
        <v>490</v>
      </c>
      <c r="J97" s="27">
        <v>1376</v>
      </c>
      <c r="K97" s="28">
        <f t="shared" si="35"/>
        <v>1866</v>
      </c>
      <c r="L97" s="26">
        <v>375</v>
      </c>
      <c r="M97" s="26">
        <v>87</v>
      </c>
      <c r="N97" s="26">
        <f t="shared" si="36"/>
        <v>462</v>
      </c>
      <c r="O97" s="26">
        <v>1175</v>
      </c>
      <c r="P97" s="26">
        <v>229</v>
      </c>
      <c r="Q97" s="26">
        <f t="shared" si="37"/>
        <v>1404</v>
      </c>
    </row>
    <row r="98" spans="1:17" ht="25.8" customHeight="1">
      <c r="A98" s="24" t="s">
        <v>73</v>
      </c>
      <c r="B98" s="25">
        <f t="shared" si="32"/>
        <v>471</v>
      </c>
      <c r="C98" s="26">
        <v>0</v>
      </c>
      <c r="D98" s="26">
        <v>0</v>
      </c>
      <c r="E98" s="27">
        <f t="shared" si="33"/>
        <v>0</v>
      </c>
      <c r="F98" s="26">
        <v>470</v>
      </c>
      <c r="G98" s="26">
        <v>1</v>
      </c>
      <c r="H98" s="27">
        <f t="shared" si="34"/>
        <v>471</v>
      </c>
      <c r="I98" s="27">
        <v>18</v>
      </c>
      <c r="J98" s="27">
        <v>364</v>
      </c>
      <c r="K98" s="28">
        <f t="shared" si="35"/>
        <v>382</v>
      </c>
      <c r="L98" s="26">
        <v>195</v>
      </c>
      <c r="M98" s="26">
        <v>31</v>
      </c>
      <c r="N98" s="26">
        <f t="shared" si="36"/>
        <v>226</v>
      </c>
      <c r="O98" s="26">
        <v>140</v>
      </c>
      <c r="P98" s="26">
        <v>16</v>
      </c>
      <c r="Q98" s="26">
        <f t="shared" si="37"/>
        <v>156</v>
      </c>
    </row>
    <row r="99" spans="1:17" ht="25.8" customHeight="1">
      <c r="A99" s="24" t="s">
        <v>74</v>
      </c>
      <c r="B99" s="25">
        <f t="shared" si="32"/>
        <v>5789</v>
      </c>
      <c r="C99" s="26">
        <v>29</v>
      </c>
      <c r="D99" s="26">
        <v>1</v>
      </c>
      <c r="E99" s="27">
        <f t="shared" si="33"/>
        <v>30</v>
      </c>
      <c r="F99" s="26">
        <v>5729</v>
      </c>
      <c r="G99" s="26">
        <v>30</v>
      </c>
      <c r="H99" s="27">
        <f t="shared" si="34"/>
        <v>5759</v>
      </c>
      <c r="I99" s="27">
        <v>2146</v>
      </c>
      <c r="J99" s="27">
        <v>4504</v>
      </c>
      <c r="K99" s="28">
        <f t="shared" si="35"/>
        <v>6650</v>
      </c>
      <c r="L99" s="26">
        <v>1107</v>
      </c>
      <c r="M99" s="26">
        <v>314</v>
      </c>
      <c r="N99" s="26">
        <f t="shared" si="36"/>
        <v>1421</v>
      </c>
      <c r="O99" s="26">
        <v>4318</v>
      </c>
      <c r="P99" s="26">
        <v>911</v>
      </c>
      <c r="Q99" s="26">
        <f t="shared" si="37"/>
        <v>5229</v>
      </c>
    </row>
    <row r="100" spans="1:17" s="33" customFormat="1" ht="32.4" customHeight="1">
      <c r="A100" s="34" t="s">
        <v>103</v>
      </c>
      <c r="B100" s="19">
        <f>E100+H100</f>
        <v>29</v>
      </c>
      <c r="C100" s="19">
        <v>0</v>
      </c>
      <c r="D100" s="19">
        <v>0</v>
      </c>
      <c r="E100" s="17">
        <f t="shared" si="33"/>
        <v>0</v>
      </c>
      <c r="F100" s="19">
        <v>29</v>
      </c>
      <c r="G100" s="19">
        <v>0</v>
      </c>
      <c r="H100" s="17">
        <f t="shared" si="34"/>
        <v>29</v>
      </c>
      <c r="I100" s="19">
        <v>5</v>
      </c>
      <c r="J100" s="17">
        <v>24</v>
      </c>
      <c r="K100" s="22">
        <f t="shared" si="35"/>
        <v>29</v>
      </c>
      <c r="L100" s="19">
        <v>1</v>
      </c>
      <c r="M100" s="19">
        <v>0</v>
      </c>
      <c r="N100" s="19">
        <f t="shared" si="36"/>
        <v>1</v>
      </c>
      <c r="O100" s="19">
        <v>28</v>
      </c>
      <c r="P100" s="19">
        <v>0</v>
      </c>
      <c r="Q100" s="19">
        <f t="shared" si="37"/>
        <v>28</v>
      </c>
    </row>
    <row r="101" spans="1:17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6"/>
      <c r="N101" s="36"/>
      <c r="O101" s="35"/>
      <c r="P101" s="36"/>
      <c r="Q101" s="36"/>
    </row>
    <row r="102" spans="1:17">
      <c r="A102" s="38" t="s">
        <v>38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6"/>
      <c r="N102" s="36"/>
      <c r="O102" s="35"/>
      <c r="P102" s="36"/>
      <c r="Q102" s="36"/>
    </row>
    <row r="104" spans="1:17">
      <c r="A104" s="37" t="s">
        <v>109</v>
      </c>
    </row>
  </sheetData>
  <mergeCells count="12">
    <mergeCell ref="A3:P3"/>
    <mergeCell ref="A4:L4"/>
    <mergeCell ref="A5:A7"/>
    <mergeCell ref="B6:B7"/>
    <mergeCell ref="B5:H5"/>
    <mergeCell ref="C6:E6"/>
    <mergeCell ref="F6:H6"/>
    <mergeCell ref="I5:Q5"/>
    <mergeCell ref="I6:K6"/>
    <mergeCell ref="L6:N6"/>
    <mergeCell ref="O6:Q6"/>
    <mergeCell ref="P4:Q4"/>
  </mergeCells>
  <phoneticPr fontId="0" type="noConversion"/>
  <printOptions horizontalCentered="1"/>
  <pageMargins left="7.874015748031496E-2" right="7.874015748031496E-2" top="0.27559055118110237" bottom="0.31496062992125984" header="0.51181102362204722" footer="0.11811023622047245"/>
  <pageSetup paperSize="8" scale="75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theodok</cp:lastModifiedBy>
  <cp:lastPrinted>2017-11-09T08:35:24Z</cp:lastPrinted>
  <dcterms:created xsi:type="dcterms:W3CDTF">2011-01-04T09:51:51Z</dcterms:created>
  <dcterms:modified xsi:type="dcterms:W3CDTF">2017-11-09T08:36:03Z</dcterms:modified>
</cp:coreProperties>
</file>